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EC6E1C0D-8C5E-F048-B08E-20ADDBD7E119}"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T2" i="1" l="1"/>
  <c r="BT3" i="1"/>
  <c r="BT4" i="1"/>
  <c r="BT5" i="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T73" i="1"/>
  <c r="BF74" i="1"/>
  <c r="BT74" i="1"/>
  <c r="BF75" i="1"/>
  <c r="BT75" i="1"/>
  <c r="BT76" i="1"/>
  <c r="BF77" i="1"/>
  <c r="BT77" i="1"/>
  <c r="BF78" i="1"/>
  <c r="BT78" i="1"/>
  <c r="BT79" i="1"/>
  <c r="BT80" i="1"/>
  <c r="BT81" i="1"/>
  <c r="BT82" i="1"/>
  <c r="BT83" i="1"/>
  <c r="BT84" i="1"/>
  <c r="BT85" i="1"/>
  <c r="BT86" i="1"/>
  <c r="BT87" i="1"/>
  <c r="BF88" i="1"/>
  <c r="BT88" i="1"/>
  <c r="BF89" i="1"/>
  <c r="BT89" i="1"/>
  <c r="BF90" i="1"/>
  <c r="BT90" i="1"/>
  <c r="BF91" i="1"/>
  <c r="BT91" i="1"/>
  <c r="BF92" i="1"/>
  <c r="BT92" i="1"/>
  <c r="BF93" i="1"/>
  <c r="BT93" i="1"/>
  <c r="BF94" i="1"/>
  <c r="BT94" i="1"/>
  <c r="BF95" i="1"/>
  <c r="BT95" i="1"/>
  <c r="BF96" i="1"/>
  <c r="BT96" i="1"/>
  <c r="BT97" i="1"/>
  <c r="BF98" i="1"/>
  <c r="BT98" i="1"/>
  <c r="BT99" i="1"/>
  <c r="BF100" i="1"/>
  <c r="BT100"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T139" i="1"/>
  <c r="BT140" i="1"/>
  <c r="BF141" i="1"/>
  <c r="BT141" i="1"/>
  <c r="BF142" i="1"/>
  <c r="BT142" i="1"/>
  <c r="BF143" i="1"/>
  <c r="BT143" i="1"/>
  <c r="BT144" i="1"/>
  <c r="BF145" i="1"/>
  <c r="BT145" i="1"/>
  <c r="BF146" i="1"/>
  <c r="BT146" i="1"/>
  <c r="BF147" i="1"/>
  <c r="BT147" i="1"/>
  <c r="BF148" i="1"/>
  <c r="BT148" i="1"/>
  <c r="BF149" i="1"/>
  <c r="BT149" i="1"/>
  <c r="BF150" i="1"/>
  <c r="BT150" i="1"/>
  <c r="BF151" i="1"/>
  <c r="BT151" i="1"/>
  <c r="BF152" i="1"/>
  <c r="BT152" i="1"/>
  <c r="BF153" i="1"/>
  <c r="BT153" i="1"/>
  <c r="BF154" i="1"/>
  <c r="BT154" i="1"/>
  <c r="BT155" i="1"/>
  <c r="BT156" i="1"/>
  <c r="BT157" i="1"/>
  <c r="BF158" i="1"/>
  <c r="BT158" i="1"/>
  <c r="BF159" i="1"/>
  <c r="BT159" i="1"/>
  <c r="BT160" i="1"/>
  <c r="BT161" i="1"/>
  <c r="BT162" i="1"/>
  <c r="BF163" i="1"/>
  <c r="BT163" i="1"/>
  <c r="BF164" i="1"/>
  <c r="BT164" i="1"/>
  <c r="BT165" i="1"/>
  <c r="BT166" i="1"/>
  <c r="BF167" i="1"/>
  <c r="BT167" i="1"/>
  <c r="BF168" i="1"/>
  <c r="BT168" i="1"/>
  <c r="BT169" i="1"/>
  <c r="BF170" i="1"/>
  <c r="BT170" i="1"/>
  <c r="BF171" i="1"/>
  <c r="BT171" i="1"/>
  <c r="BT172" i="1"/>
  <c r="BT173" i="1"/>
  <c r="BT174" i="1"/>
  <c r="BT175" i="1"/>
  <c r="BT176" i="1"/>
  <c r="BT177" i="1"/>
  <c r="BF178" i="1"/>
  <c r="BT178" i="1"/>
  <c r="BF179" i="1"/>
  <c r="BT179" i="1"/>
  <c r="BF180" i="1"/>
  <c r="BT180" i="1"/>
  <c r="BF181" i="1"/>
  <c r="BT181" i="1"/>
  <c r="BT182" i="1"/>
  <c r="BT183" i="1"/>
  <c r="BT184"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T267" i="1"/>
  <c r="BF268" i="1"/>
  <c r="BT268" i="1"/>
  <c r="BF269" i="1"/>
  <c r="BT269" i="1"/>
  <c r="BF270" i="1"/>
  <c r="BT270" i="1"/>
  <c r="BF271" i="1"/>
  <c r="BT271" i="1"/>
  <c r="BF272" i="1"/>
  <c r="BT272" i="1"/>
  <c r="BF273" i="1"/>
  <c r="BT273" i="1"/>
  <c r="BF274" i="1"/>
  <c r="BT274" i="1"/>
  <c r="BT275" i="1"/>
  <c r="BT276" i="1"/>
  <c r="BF277" i="1"/>
  <c r="BT277" i="1"/>
  <c r="BF278" i="1"/>
  <c r="BT278" i="1"/>
  <c r="BT279" i="1"/>
  <c r="BF280" i="1"/>
  <c r="BT280" i="1"/>
  <c r="BF281" i="1"/>
  <c r="BT281" i="1"/>
  <c r="BF282" i="1"/>
  <c r="BT282" i="1"/>
  <c r="BF283" i="1"/>
  <c r="BT283" i="1"/>
  <c r="BF284" i="1"/>
  <c r="BT284" i="1"/>
  <c r="BT285" i="1"/>
  <c r="BT286" i="1"/>
  <c r="BT287" i="1"/>
  <c r="BT288" i="1"/>
  <c r="BF289" i="1"/>
  <c r="BT289" i="1"/>
  <c r="BT290" i="1"/>
  <c r="BF291" i="1"/>
  <c r="BT291" i="1"/>
  <c r="BF292" i="1"/>
  <c r="BT292" i="1"/>
  <c r="BF293" i="1"/>
  <c r="BT293" i="1"/>
  <c r="BF294" i="1"/>
  <c r="BT294" i="1"/>
  <c r="BF295" i="1"/>
  <c r="BT295" i="1"/>
  <c r="BF296" i="1"/>
  <c r="BT296" i="1"/>
  <c r="BF297" i="1"/>
  <c r="BT297" i="1"/>
  <c r="BF298" i="1"/>
  <c r="BT298" i="1"/>
  <c r="BT299" i="1"/>
  <c r="BT300" i="1"/>
  <c r="BT301" i="1"/>
  <c r="BT302" i="1"/>
  <c r="BT303"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T337" i="1"/>
  <c r="BF338" i="1"/>
  <c r="BT338" i="1"/>
  <c r="BF339" i="1"/>
  <c r="BT339" i="1"/>
  <c r="BF340" i="1"/>
  <c r="BT340" i="1"/>
  <c r="BT341" i="1"/>
  <c r="BF342" i="1"/>
  <c r="BT342" i="1"/>
  <c r="BF343" i="1"/>
  <c r="BT343" i="1"/>
  <c r="BF344" i="1"/>
  <c r="BT344" i="1"/>
  <c r="BF345" i="1"/>
  <c r="BT345" i="1"/>
  <c r="BT346" i="1"/>
  <c r="BF347" i="1"/>
  <c r="BT347" i="1"/>
  <c r="BF348" i="1"/>
  <c r="BT348" i="1"/>
  <c r="BF349" i="1"/>
  <c r="BT349" i="1"/>
  <c r="BT350" i="1"/>
  <c r="BT351" i="1"/>
  <c r="BT352"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T393" i="1"/>
  <c r="BF394" i="1"/>
  <c r="BT394" i="1"/>
  <c r="BF395" i="1"/>
  <c r="BT395" i="1"/>
  <c r="BF396" i="1"/>
  <c r="BT396" i="1"/>
  <c r="BF397" i="1"/>
  <c r="BT397" i="1"/>
  <c r="BF398" i="1"/>
  <c r="BT398" i="1"/>
  <c r="BF399" i="1"/>
  <c r="BT399" i="1"/>
  <c r="BF400" i="1"/>
  <c r="BT400" i="1"/>
  <c r="BF401" i="1"/>
  <c r="BT401" i="1"/>
  <c r="BF402" i="1"/>
  <c r="BT402" i="1"/>
  <c r="BT403" i="1"/>
  <c r="BT404" i="1"/>
  <c r="BT405" i="1"/>
  <c r="BF406" i="1"/>
  <c r="BT406" i="1"/>
  <c r="BF407" i="1"/>
  <c r="BT407" i="1"/>
  <c r="BF408" i="1"/>
  <c r="BT408" i="1"/>
  <c r="BF409" i="1"/>
  <c r="BT409"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T436" i="1"/>
  <c r="BF437" i="1"/>
  <c r="BT437" i="1"/>
  <c r="BF438" i="1"/>
  <c r="BT438" i="1"/>
  <c r="BF439" i="1"/>
  <c r="BT439" i="1"/>
  <c r="BF440" i="1"/>
  <c r="BT440"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T477" i="1"/>
  <c r="BF478" i="1"/>
  <c r="BT478" i="1"/>
  <c r="BF479" i="1"/>
  <c r="BT479" i="1"/>
  <c r="BT480" i="1"/>
  <c r="BF481" i="1"/>
  <c r="BT481" i="1"/>
  <c r="BF482" i="1"/>
  <c r="BT482" i="1"/>
  <c r="BF483" i="1"/>
  <c r="BT483" i="1"/>
  <c r="BT484" i="1"/>
  <c r="BF485" i="1"/>
  <c r="BT485" i="1"/>
  <c r="BT486" i="1"/>
  <c r="BF487" i="1"/>
  <c r="BT487" i="1"/>
  <c r="BF488" i="1"/>
  <c r="BT488" i="1"/>
  <c r="BF489" i="1"/>
  <c r="BT489" i="1"/>
  <c r="BT490" i="1"/>
  <c r="BF491" i="1"/>
  <c r="BT491" i="1"/>
  <c r="BF492" i="1"/>
  <c r="BT492" i="1"/>
  <c r="BF493" i="1"/>
  <c r="BT493" i="1"/>
  <c r="BF494" i="1"/>
  <c r="BT494" i="1"/>
  <c r="BF495" i="1"/>
  <c r="BT495" i="1"/>
  <c r="BF496" i="1"/>
  <c r="BT496" i="1"/>
  <c r="BF497" i="1"/>
  <c r="BT497" i="1"/>
  <c r="BF498" i="1"/>
  <c r="BT498" i="1"/>
  <c r="BF499" i="1"/>
  <c r="BT499"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T519" i="1"/>
  <c r="BF520" i="1"/>
  <c r="BT520" i="1"/>
  <c r="BF521" i="1"/>
  <c r="BT521" i="1"/>
  <c r="BT522" i="1"/>
  <c r="BF523" i="1"/>
  <c r="BT523" i="1"/>
  <c r="BF524" i="1"/>
  <c r="BT524" i="1"/>
  <c r="BF525" i="1"/>
  <c r="BT525" i="1"/>
  <c r="BF526" i="1"/>
  <c r="BT526" i="1"/>
  <c r="BF527" i="1"/>
  <c r="BT527" i="1"/>
  <c r="BT528" i="1"/>
  <c r="BF529" i="1"/>
  <c r="BT529" i="1"/>
  <c r="BF530" i="1"/>
  <c r="BT530" i="1"/>
  <c r="BF531" i="1"/>
  <c r="BT531" i="1"/>
  <c r="BF532" i="1"/>
  <c r="BT532" i="1"/>
  <c r="BF533" i="1"/>
  <c r="BT533" i="1"/>
  <c r="BF534" i="1"/>
  <c r="BT534" i="1"/>
  <c r="BF535" i="1"/>
  <c r="BT535" i="1"/>
  <c r="BT536" i="1"/>
  <c r="BF537" i="1"/>
  <c r="BT537" i="1"/>
  <c r="BF538" i="1"/>
  <c r="BT538" i="1"/>
  <c r="BF539" i="1"/>
  <c r="BT539" i="1"/>
  <c r="BF540" i="1"/>
  <c r="BT540"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T564" i="1"/>
  <c r="BF565" i="1"/>
  <c r="BT565" i="1"/>
  <c r="BF566" i="1"/>
  <c r="BT566" i="1"/>
  <c r="BF567" i="1"/>
  <c r="BT567" i="1"/>
  <c r="BF568" i="1"/>
  <c r="BT568" i="1"/>
  <c r="BT569" i="1"/>
  <c r="BF570" i="1"/>
  <c r="BT570" i="1"/>
  <c r="BF571" i="1"/>
  <c r="BT571" i="1"/>
  <c r="BT572" i="1"/>
  <c r="BT573" i="1"/>
  <c r="BF574" i="1"/>
  <c r="BT574" i="1"/>
  <c r="BF575" i="1"/>
  <c r="BT575" i="1"/>
  <c r="BF576" i="1"/>
  <c r="BT576" i="1"/>
  <c r="BF577" i="1"/>
  <c r="BT577" i="1"/>
  <c r="BF578" i="1"/>
  <c r="BT578" i="1"/>
  <c r="BF579" i="1"/>
  <c r="BT579" i="1"/>
  <c r="BF580" i="1"/>
  <c r="BT580" i="1"/>
  <c r="BF581" i="1"/>
  <c r="BT581" i="1"/>
  <c r="BF582" i="1"/>
  <c r="BT582" i="1"/>
  <c r="BT583" i="1"/>
  <c r="BF584" i="1"/>
  <c r="BT584" i="1"/>
  <c r="BF585" i="1"/>
  <c r="BT585" i="1"/>
  <c r="BF586" i="1"/>
  <c r="BT586" i="1"/>
  <c r="BT587" i="1"/>
  <c r="BF588" i="1"/>
  <c r="BT588" i="1"/>
  <c r="BF589" i="1"/>
  <c r="BT589" i="1"/>
  <c r="BF590" i="1"/>
  <c r="BT590" i="1"/>
  <c r="BF591" i="1"/>
  <c r="BT591"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T713" i="1"/>
  <c r="BT714" i="1"/>
  <c r="BT715" i="1"/>
  <c r="BT716" i="1"/>
  <c r="BF717" i="1"/>
  <c r="BT717" i="1"/>
  <c r="BF718" i="1"/>
  <c r="BT718" i="1"/>
  <c r="BT719" i="1"/>
  <c r="BF720" i="1"/>
  <c r="BT720" i="1"/>
  <c r="BT721" i="1"/>
  <c r="BF722" i="1"/>
  <c r="BT722" i="1"/>
  <c r="BF723" i="1"/>
  <c r="BT723" i="1"/>
  <c r="BT724" i="1"/>
  <c r="BT725" i="1"/>
  <c r="BT726" i="1"/>
  <c r="BF727" i="1"/>
  <c r="BT727" i="1"/>
  <c r="BF728" i="1"/>
  <c r="BT728" i="1"/>
  <c r="BT729" i="1"/>
  <c r="BT730" i="1"/>
  <c r="BF731" i="1"/>
  <c r="BT731" i="1"/>
  <c r="BF732" i="1"/>
  <c r="BT732" i="1"/>
  <c r="BF733" i="1"/>
  <c r="BT733" i="1"/>
  <c r="BF734" i="1"/>
  <c r="BT734" i="1"/>
  <c r="BT735" i="1"/>
  <c r="BT736"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T774" i="1"/>
  <c r="BF775" i="1"/>
  <c r="BT775" i="1"/>
  <c r="BF776" i="1"/>
  <c r="BT776" i="1"/>
  <c r="BT777"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T850" i="1"/>
  <c r="BT851" i="1"/>
  <c r="BT852" i="1"/>
  <c r="BT853" i="1"/>
  <c r="BT854" i="1"/>
  <c r="BT855" i="1"/>
  <c r="BT856" i="1"/>
  <c r="BT857" i="1"/>
  <c r="BF858" i="1"/>
  <c r="BT858" i="1"/>
  <c r="BF859" i="1"/>
  <c r="BT859" i="1"/>
  <c r="BF860" i="1"/>
  <c r="BT860" i="1"/>
  <c r="BF861" i="1"/>
  <c r="BT861" i="1"/>
  <c r="BT862" i="1"/>
  <c r="BT863" i="1"/>
  <c r="BF864" i="1"/>
  <c r="BT864" i="1"/>
  <c r="BF865" i="1"/>
  <c r="BT865" i="1"/>
  <c r="BF866" i="1"/>
  <c r="BT866" i="1"/>
  <c r="BF867" i="1"/>
  <c r="BT867" i="1"/>
  <c r="BT868" i="1"/>
  <c r="BF869" i="1"/>
  <c r="BT869" i="1"/>
  <c r="BF870" i="1"/>
  <c r="BT870" i="1"/>
  <c r="BF871" i="1"/>
  <c r="BT871" i="1"/>
  <c r="BF872" i="1"/>
  <c r="BT872"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T927" i="1"/>
  <c r="BF928" i="1"/>
  <c r="BT928" i="1"/>
  <c r="BT929" i="1"/>
  <c r="BF930" i="1"/>
  <c r="BT930" i="1"/>
  <c r="BF931" i="1"/>
  <c r="BT931" i="1"/>
  <c r="BT932" i="1"/>
  <c r="BT933" i="1"/>
  <c r="BT934" i="1"/>
  <c r="BF935" i="1"/>
  <c r="BT935" i="1"/>
  <c r="BF936" i="1"/>
  <c r="BT936" i="1"/>
  <c r="BF937" i="1"/>
  <c r="BT937" i="1"/>
  <c r="BF938" i="1"/>
  <c r="BT938" i="1"/>
  <c r="BF939" i="1"/>
  <c r="BT939" i="1"/>
  <c r="BF940" i="1"/>
  <c r="BT940" i="1"/>
  <c r="BF941" i="1"/>
  <c r="BT941" i="1"/>
  <c r="BF942" i="1"/>
  <c r="BT942" i="1"/>
  <c r="BT943" i="1"/>
  <c r="BF944" i="1"/>
  <c r="BT944" i="1"/>
  <c r="BF945" i="1"/>
  <c r="BT945" i="1"/>
  <c r="BF946" i="1"/>
  <c r="BT946" i="1"/>
  <c r="BF947" i="1"/>
  <c r="BT947" i="1"/>
  <c r="BF948" i="1"/>
  <c r="BT948" i="1"/>
  <c r="BF949" i="1"/>
  <c r="BT949" i="1"/>
  <c r="BF950" i="1"/>
  <c r="BT950" i="1"/>
  <c r="BF951" i="1"/>
  <c r="BT951" i="1"/>
  <c r="BF952" i="1"/>
  <c r="BT952" i="1"/>
  <c r="BF953" i="1"/>
  <c r="BT953"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T987" i="1"/>
  <c r="BT988" i="1"/>
  <c r="BT989" i="1"/>
  <c r="BT990" i="1"/>
  <c r="BT991" i="1"/>
  <c r="BT992" i="1"/>
  <c r="BT993" i="1"/>
  <c r="BT994" i="1"/>
  <c r="BF995" i="1"/>
  <c r="BT995" i="1"/>
  <c r="BF996" i="1"/>
  <c r="BT996" i="1"/>
  <c r="BF997" i="1"/>
  <c r="BT997" i="1"/>
  <c r="BT998" i="1"/>
  <c r="BF999" i="1"/>
  <c r="BT999" i="1"/>
  <c r="BT1000" i="1"/>
  <c r="BT1001" i="1"/>
</calcChain>
</file>

<file path=xl/sharedStrings.xml><?xml version="1.0" encoding="utf-8"?>
<sst xmlns="http://schemas.openxmlformats.org/spreadsheetml/2006/main" count="59713" uniqueCount="13618">
  <si>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</si>
  <si>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</si>
  <si>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</si>
  <si>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</si>
  <si>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</si>
  <si>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</si>
  <si>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</si>
  <si>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</si>
  <si>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</si>
  <si>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</si>
  <si>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</si>
  <si>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</si>
  <si>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</si>
  <si>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</si>
  <si>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</si>
  <si>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</si>
  <si>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</si>
  <si>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</si>
  <si>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</si>
  <si>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</si>
  <si>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</si>
  <si>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</si>
  <si>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</si>
  <si>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</si>
  <si>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</si>
  <si>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</si>
  <si>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</si>
  <si>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</si>
  <si>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</si>
  <si>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</si>
  <si>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</si>
  <si>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</si>
  <si>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</si>
  <si>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</si>
  <si>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</si>
  <si>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</si>
  <si>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</si>
  <si>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</si>
  <si>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</si>
  <si>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</si>
  <si>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</si>
  <si>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</si>
  <si>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</si>
  <si>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</si>
  <si>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</si>
  <si>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</si>
  <si>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</si>
  <si>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</si>
  <si>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</si>
  <si>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</si>
  <si>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</si>
  <si>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</si>
  <si>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</si>
  <si>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</si>
  <si>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</si>
  <si>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</si>
  <si>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</si>
  <si>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</si>
  <si>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</si>
  <si>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</si>
  <si>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</si>
  <si>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</si>
  <si>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</si>
  <si>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</si>
  <si>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</si>
  <si>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</si>
  <si>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</si>
  <si>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</si>
  <si>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</si>
  <si>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</si>
  <si>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</si>
  <si>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</si>
  <si>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C</t>
  </si>
  <si>
    <t>Creuwels, JCS; Van Franeker, JA</t>
  </si>
  <si>
    <t/>
  </si>
  <si>
    <t>Huiskes, AHL; Gieskes, WWC; Rozema, J; Schorno, RML; VanDerVies, SM; Wolff, WJ</t>
  </si>
  <si>
    <t>Do two closely related petrel species have a different breeding strategy in Antarctica?</t>
  </si>
  <si>
    <t>ANTARCTIC BIOLOGY IN A GLOBAL CONTEXT, PROCEEDINGS</t>
  </si>
  <si>
    <t>English</t>
  </si>
  <si>
    <t>Proceedings Paper</t>
  </si>
  <si>
    <t>8th SCAR International Biology Symposium</t>
  </si>
  <si>
    <t>AUG 27-SEP 01, 2001</t>
  </si>
  <si>
    <t>VRIJE UNIV, AMSTERDAM, NETHERLANDS</t>
  </si>
  <si>
    <t>VRIJE UNIV</t>
  </si>
  <si>
    <t>Antarctica; seabirds; adaptation; breeding strategy</t>
  </si>
  <si>
    <t>THALASSOICA-ANTARCTICA; PERFORMANCE</t>
  </si>
  <si>
    <t>Short summers limit the time window for Antarctic seabirds to complete their breeding period. On Ardery Island, the Antarctic Petrel (Thalassoica antarctica) and the Southern Fulmar (Fulmarus glacialoides) have a relatively short breeding period of 96.5 days. Antarctic Petrels started breeding 16-17 days earlier than Southern Fulmars. Consequently, 29% of all Antarctic Petrel breeding failures occurred before the Southern Fulmars had started laying. In contrast, Southern Fulmars were more susceptible to deteriorating weather conditions late in the season, such as in the 1998/99 season when heavy snowfall caused 45% of all their breeding failures. Although the overall breeding success was similar between the two species, the Antarctic Petrel strategy of an early start is more favourable, because failed breeders invest less energy; Southern Fulmars cannot adopt this strategy because they are poorly adapted to flying over ice, preventing to breed earlier on locations surrounded by ice early in the season.</t>
  </si>
  <si>
    <t>ALTERRA Texel, Marine &amp; Coastal Zone Res, NL-1790 AD Den Burg, Texel, Netherlands</t>
  </si>
  <si>
    <t>Wageningen University &amp; Research</t>
  </si>
  <si>
    <t>Creuwels, JCS (corresponding author), ALTERRA Texel, Marine &amp; Coastal Zone Res, POB 167, NL-1790 AD Den Burg, Texel, Netherlands.</t>
  </si>
  <si>
    <t>BACKHUYS PUBLISHERS</t>
  </si>
  <si>
    <t>LEIDEN</t>
  </si>
  <si>
    <t>PO BOX 321, 2300 AH LEIDEN, NETHERLANDS</t>
  </si>
  <si>
    <t>90-5782-079-X</t>
  </si>
  <si>
    <t>Ecology; Environmental Sciences; Meteorology &amp; Atmospheric Sciences</t>
  </si>
  <si>
    <t>Conference Proceedings Citation Index - Science (CPCI-S)</t>
  </si>
  <si>
    <t>Environmental Sciences &amp; Ecology; Meteorology &amp; Atmospheric Sciences</t>
  </si>
  <si>
    <t>BW82P</t>
  </si>
  <si>
    <t>2024-04-21</t>
  </si>
  <si>
    <t>WOS:000183287900022</t>
  </si>
  <si>
    <t>Jadwiszczak, P</t>
  </si>
  <si>
    <t>The early evolution of Antarctic penguins</t>
  </si>
  <si>
    <t>Antarctica; La Meseta Formation; Eocene; penguins; evolution</t>
  </si>
  <si>
    <t>LA MESETA FORMATION; SEYMOUR-ISLAND; EOCENE</t>
  </si>
  <si>
    <t>The oldest remains of Antarctic penguins are known from the Eocene La Meseta Formation (Seymour Island, Antarctic Peninsula). Results of recent studies support earlier reports and state that the fossil record gives an evidence of the surprisingly diversified assemblage of Eocene Spheniscidae. These results also suggest that the early evolution of penguins was probably rather rapid. The adaptive radiation under periodically unfavourable trophic conditions is proposed as an explanation for the abundance of fossil penguin taxa.</t>
  </si>
  <si>
    <t>Univ Bialystok, Inst Biol, PL-15950 Bialystok, Poland</t>
  </si>
  <si>
    <t>University of Bialystok</t>
  </si>
  <si>
    <t>Univ Bialystok, Inst Biol, Swierkowa 20 B, PL-15950 Bialystok, Poland.</t>
  </si>
  <si>
    <t>piotrj@uwb.edu.pl</t>
  </si>
  <si>
    <t>Jadwiszczak, Piotr/P-4336-2019; Jadwiszczak, Piotr/K-5136-2014</t>
  </si>
  <si>
    <t>Jadwiszczak, Piotr/0000-0002-5263-1125;</t>
  </si>
  <si>
    <t>WOS:000183287900023</t>
  </si>
  <si>
    <t>Wierzchos, J; De Los Rios, A; Sancho, LG; Green, A; Ascaso, C</t>
  </si>
  <si>
    <t>The integrated microscopical study of Antarctic endolithic microorganisms and their microhabits</t>
  </si>
  <si>
    <t>Antarctica; endolithic habitat; confocal scanning laser microscopy; scanning electron microscopy; X-ray energy dispersive spectroscopy; lithobionts; microfossils</t>
  </si>
  <si>
    <t>BIOWEATHERED GRANITIC BIOTITE; LICHEN-ROCK INTERFACE; MINERALOGICAL TRANSFORMATION; DESERT; LIFE</t>
  </si>
  <si>
    <t>Some microorganisms have adapted to extreme environments such as those of the Antarctica, forming communities within rocks. A reliable tool for exploring these live, mummified and fossilised Antarctic microorganisms in the rock habitat combines several microscopy and microanalytical approaches including scanning electron microscopy with back scattered electron imaging (SEM-BSE), low temperature scanning electron microscopy (LTSEM), confocal scanning laser microscopy (CSLM) and the microanalytical system X-ray energy dispersive spectroscopy (EDS). These methods have allowed the simultaneous characterisation of these microorganisms, their habitats and the relationships between them. Features common to live endolithic Antarctic ecosystems are a high diversity of microorganisms and heterogeneity in their distribution. Interactions between microorganisms and the lithic substrate such as biomobilisation and biomineralisation processes have also been described. Moreover, the presence of mineralised microorganisms in rocks from Antarctica has been demonstrated. The integration of all the information generated by this type of correlative study provides deep insight into the life cycle of Antarctic endolithic microorganisms.</t>
  </si>
  <si>
    <t>Univ Lleida, Serv Microscopia Elect, Lleida 25198, Spain</t>
  </si>
  <si>
    <t>Universitat de Lleida</t>
  </si>
  <si>
    <t>Wierzchos, J (corresponding author), Univ Lleida, Serv Microscopia Elect, Rovira Roure 44, Lleida 25198, Spain.</t>
  </si>
  <si>
    <t>Ascaso, Carmen/F-5369-2011; Wierzchos, Jacek/F-7036-2011; Sancho, leopoldo G./H-2974-2013; de los Rios, Asuncion/L-3694-2014; SANCHO, LEOPOLDO G/G-9120-2015</t>
  </si>
  <si>
    <t>de los Rios, Asuncion/0000-0002-0266-3516;</t>
  </si>
  <si>
    <t>WOS:000183287900024</t>
  </si>
  <si>
    <t>Bargagli, R; Borghini, F; Monaci, F</t>
  </si>
  <si>
    <t>The sea as major source of ions to lichens in terrestrial ecosystems of Victoria Land</t>
  </si>
  <si>
    <t>continental Antarctica; saxicolous macrolichens; ion availability; snow; rocks; salt encrustations</t>
  </si>
  <si>
    <t>ANTARCTICA; ELEMENTS; COPPER</t>
  </si>
  <si>
    <t>Lichens and mosses constitute the bulk of plant biomass in terrestrial ecosystems of continental Antarctica. On the hypothesis that cryptogams can be used as an early warning system to detect the effects of climatic changes on environmental biogeochemistry, we investigated the elemental composition and the main sources of soluble ions to the saxicolous lichen Unibilicaria decussata, in Victoria Land. Concentrations of major anions (Cl-, SO42-, NO3-) cations (Na+, Ca2+, Mg2+, NH4+) and trace elements (Al, Cu, Fe, Mn and Zn) were determined in lichens, snow, salt encrustations and wet filter papers laid on lichen supporting rocks. Enrichment Factors calculated using Na as marine reference element were close to I for most of analysed ions irrespectively of rock types. A crustal contribution of Ca, K and above all Cu was found in the lichen thalli growing on gabbro and ultramafic rocks. The uptake of marine ions in Umbilicaria thalli probably occurs directly from the snow and aerosols and indirectly through the solubilisation of salt encrustations on rock surfaces. Possible effects of predicted climatic changes on biogeochemistry of Antarctic terrestrial ecosystems were discussed.</t>
  </si>
  <si>
    <t>Univ Siena, Dipartimento Biol Ambientale, I-53100 Siena, Italy</t>
  </si>
  <si>
    <t>University of Siena</t>
  </si>
  <si>
    <t>Bargagli, R (corresponding author), Univ Siena, Dipartimento Biol Ambientale, Via PA Mattioli 4, I-53100 Siena, Italy.</t>
  </si>
  <si>
    <t>Monaci, Fabrizio/B-6611-2012</t>
  </si>
  <si>
    <t>Monaci, Fabrizio/0000-0001-5489-1310</t>
  </si>
  <si>
    <t>WOS:000183287900025</t>
  </si>
  <si>
    <t>Schlensog, M; Schroeter, B; Pannewitz, S; Green, A</t>
  </si>
  <si>
    <t>Adaptation of mosses and lichens to irradiance stress in maritime and continental Antarctic habitats</t>
  </si>
  <si>
    <t>lichen; moss; Antarctica; photosynthesis; photoinhibition; poikilohydry</t>
  </si>
  <si>
    <t>CHLOROPHYLL-A FLUORESCENCE; PHOTOSYNTHETIC ACTIVITY; CAROTENOIDS; PHYSIOLOGY; EXCHANGE; ISLAND; GREEN; WATER; COLD; BAY</t>
  </si>
  <si>
    <t>In Antarctic terrestrial habitats strong irradiance often coincides with low temperatures, a combination known to induce photoinhibition of photosynthesis. This could therefore, be relevant to the primary productivity of mosses and lichens, the dominant Antarctic vegetation. To test this possibility, strong light sensitivity of mosses and lichens from maritime and continental Antarctic habitats was investigated with a combination of CO2-gas-exchange and chlorophyll-a-fluorescence techniques under controlled conditions and in situ together with measurements of pigment content. The investigation showed that Antarctic mosses and lichens are adapted in various ways to avoid and/or tolerate strong irradiance stress. Shade-adapted mosses growing in rock cracks were easily photo-inhibited but, in situ, are never subjected to strong irradiance. Some maritime Antarctic lichens from open, exposed sites also displayed sensitivity when artificially hydrated. However, because of the combinations of irradiance and thallus water content at their natural stand they were metabolically active almost exclusively under low light conditions and photoinhibition was largely avoided. All other Antarctic mosses and lichens proved to be highly tolerant to strong irradiance even when they were hydrated and active. In lichens protection seems to be mostly obtained by thallus structure. Reflection and absorption in their often heavily pigmented upper cortex creates an intrathalline shade habitat for their algal symbionts. Mosses can acclimatise to strong irradiance by building up a resistant photosynthetic apparatus most probably because of a highly active xanthophyll cycle.</t>
  </si>
  <si>
    <t>Univ Kiel, Inst Bot, D-24098 Kiel, Germany</t>
  </si>
  <si>
    <t>University of Kiel</t>
  </si>
  <si>
    <t>Schlensog, M (corresponding author), Univ Kiel, Inst Bot, Olshaussenstr 40, D-24098 Kiel, Germany.</t>
  </si>
  <si>
    <t>WOS:000183287900026</t>
  </si>
  <si>
    <t>Grémillet, D; Le Maho, Y</t>
  </si>
  <si>
    <t>Arctic and Antarctic ecosystems:: poles apart?</t>
  </si>
  <si>
    <t>Arctic; Antarctic; ecosystem complexity; trophic levels; productivity; isolation; ecophysiology; adaptation; abiotic constraints; food webs</t>
  </si>
  <si>
    <t>TROPHIC-LEVEL PREDATORS; SEA-ICE EXTENT; MARINE ECOSYSTEM; POLAR BEARS; POPULATION-DYNAMICS; FORAGING BEHAVIOR; EMPEROR PENGUINS; CLIMATE-CHANGE; SOUTH-GEORGIA; WEDDELL-SEA</t>
  </si>
  <si>
    <t>Both polar regions are exposed to similarly low and strongly varying light levels. This results in a series of drastic abiotic features which characterise these zones as some of the most inhospitable places on earth. Due to these conditions, Northern and Southern polar ecosystems are unique and apparently similar. However, a closer look reveals major discrepancies between Southern and Northern high-latitude areas and their food webs. The present paper starts with an overview of the abiotic framework within which these natural systems function. Subsequently, three specific topics are addressed with respect to these ecosystems. First, the question of ecosystem simplicity in polar regions is raised. It is discussed whether this is a general feature and how far these characteristics can be useful for fundamental ecological studies. The productivity of Arctic and Antarctic ecosystems is then compared, thereby focusing on the key topic of primary productivity underneath the perennial sea-ice of the Arctic ocean. Finally, it is highlighted that the different ages and levels of isolation of these systems provide excellent comparative opportunities for ecophysiologists and evolutionary biologists.</t>
  </si>
  <si>
    <t>CNRS, Ctr Ecol &amp; Physiol Energet, F-67087 Strasbourg, France</t>
  </si>
  <si>
    <t>Universites de Strasbourg Etablissements Associes; Universite de Strasbourg; Centre National de la Recherche Scientifique (CNRS)</t>
  </si>
  <si>
    <t>Gremillet, David/W-1946-2018</t>
  </si>
  <si>
    <t>Gremillet, David/0000-0002-7711-9398</t>
  </si>
  <si>
    <t>WOS:000183287900027</t>
  </si>
  <si>
    <t>Vincent, WF; Belzile, C</t>
  </si>
  <si>
    <t>Biological UV exposure in the polar oceans: Arctic-Antarctic comparisons</t>
  </si>
  <si>
    <t>CDOM; global changes; ice; ocean optics; ozone depletion; UV exposure</t>
  </si>
  <si>
    <t>DISSOLVED ORGANIC-MATTER; ULTRAVIOLET-RADIATION; BIOOPTICAL PROPERTIES; OPTICAL-PROPERTIES; OZONE DEPLETION; ROSS SEA; WATERS; PHYTOPLANKTON; INHIBITION; MODELS</t>
  </si>
  <si>
    <t>Rising UV-B radiation in Antarctica and the potential for future ozone depletion over the Arctic have underscored the need for improved, predictive models of biological UV exposure in the polar marine environment. In this analysis we applied a 'weighted transparency' model of underwater UV exposure and compared the fundamental similarities and differences between the north and south polar oceans. By way of published studies and new optical measurements in the Arctic and Antarctica we examined the effects of incident UV, albedo, attenuation by snow and ice, absorption and scattering in the water column, and biological weighting functions for UV exposure. Ozone depletion is likely to remain more severe over the Southern Ocean, however climate change over the 21(st) century is predicted to be especially large in the Arctic and would be accompanied by major variations in underwater UV through the loss of sea ice and changes in the distribution of colored dissolved organic matter (CDOM). An analysis of the effects of Arctic sea ice melting shows that this process could result in order-of-magnitude increases in biological UV exposure that greatly exceed those caused by the current extent of ozone depletion.</t>
  </si>
  <si>
    <t>Univ Laval, Ctr Etud Nord, Laval, PQ G1K 7P4, Canada</t>
  </si>
  <si>
    <t>Laval University</t>
  </si>
  <si>
    <t>Vincent, WF (corresponding author), Univ Laval, Ctr Etud Nord, Laval, PQ G1K 7P4, Canada.</t>
  </si>
  <si>
    <t>Vincent, Warwick/AAH-6152-2019</t>
  </si>
  <si>
    <t>Vincent, Warwick/0000-0001-9055-1938</t>
  </si>
  <si>
    <t>WOS:000183287900028</t>
  </si>
  <si>
    <t>McMinn, A; Hegseth, EN</t>
  </si>
  <si>
    <t>Early Spring pack ice algae from the Arctic and Antarctic: how different are they?</t>
  </si>
  <si>
    <t>Antarctic; sea ice; Arctic; productivity; biodiversity</t>
  </si>
  <si>
    <t>SEA-ICE; MICROBIAL COMMUNITIES; PRIMARY PRODUCTIVITY; SPECIES COMPOSITION; BARENTS SEA; BOTTOM-ICE; MICROALGAE; BIOTA; EDGE; PHYTOPLANKTON</t>
  </si>
  <si>
    <t>Pack ice microbial communities in the Arctic and Antarctic are strikingly similar. This similarity extends to biomass levels, productivity, taxonomic composition (at the generic level), biodiversity, physical conditions and habitat usage. Here, we compare microalgal communities from Prydz Bay, Antarctica, in October-November 1998 and Svalbard Bank, the Arctic, in April 2001. Algal biomass in the Prydz Bay region (early October 1998) was between 0.19 and 35.1 mg chla m(-2) with a mean of 13.78+/-8.89 mg chla m(-2). Biomass was distributed throughout the ice column but with a maximum towards the base. Production was between 0.58 and 6.43 mg C day(-1) with a mean of 2.64+/-1.44 mg C day(-1). Ice thicknesses were between 45 and 80 cm and under ice light levels were between 3 and 17 muMol photons m(-2) s(-1). Pack ice from the Svalbard Bank in early April 2001 was between 40 and 50 cm thick with a 5 cm thick layer of snow. Algal biomass was between 0.031 and 0.566 mg chla m(-2) with a mean of 0.184+/-0.212 mg chla m(-2). Under ice light levels were between 4 and 11 muMol photons m(-2) s(-1). Production was between 0.025 and 0.91 mg C day(-1) with a mean of 0.50+/-0.35 mg C day(-1). In both communities taxonomic composition at the generic level was dominated by Fragilariopsis, Navicula and Nitzschia; F curta and F cylindrus in the Antarctic and N. frigida, E oceanica and N. pelagica in the Arctic. Both sites also contained a previously unreported algal community associated with loosely packed frazil crystals just under the ice. At the Svalbard Bank site most of the biomass was in this community.</t>
  </si>
  <si>
    <t>Univ Tasmania, Inst Antarctic &amp; So Ocean Studies, Hobart, Tas 7001, Australia</t>
  </si>
  <si>
    <t>University of Tasmania</t>
  </si>
  <si>
    <t>Univ Tasmania, Inst Antarctic &amp; So Ocean Studies, Box 252-77, Hobart, Tas 7001, Australia.</t>
  </si>
  <si>
    <t>andrew.mcminn@utas.edu.au</t>
  </si>
  <si>
    <t>McMinn, Andrew/A-9910-2008</t>
  </si>
  <si>
    <t>WOS:000183287900029</t>
  </si>
  <si>
    <t>Verde, C; Parisi, E; De Pascale, D; Riccio, A; Di Prisco, G</t>
  </si>
  <si>
    <t>The hemoglobin system of the Arctic spotted wolffish Anarhichas minor:: comparison of northern and southern polar marine environments</t>
  </si>
  <si>
    <t>Arctic; Antarctica; fish; hemoglobin; structure/function; evolution</t>
  </si>
  <si>
    <t>FUNCTIONALLY DISTINCT HEMOGLOBINS; HUMAN DEOXYHEMOGLOBIN; ANTARCTIC FISHES; BINDING; ADAPTATION; EVOLUTION; TELEOST</t>
  </si>
  <si>
    <t>The hematological features of the Arctic spotted wolffish Anarhichas minor, a benthic sedentary species, differ markedly from those of Antarctic species suborder Notothenioidei. Most notothenioids have low hemoglobin multiplicity and possess a single major component, sometimes accompanied by a second, functionally indistinguishable minor hemoglobin. In contrast, the blood of A. minor has three major hemoglobins (Hb 1, Hb 2, Hb 3), which were structurally and functionally characterised. They showed important functional differences in PH and organophosphate regulation, subunit cooperativity and oxygen binding responses to temperature. Similar to Antarctic fish hemoglobins known so far, each A. minor hemoglobin has one of the two chains in common with another one. Homology modelling revealed an unusual structure of the organophosphate binding site in the beta cleft of Hb 3. Molecular phylogeny indicates that the alpha and beta globins are divergent from those of notothenioids and display mutually different paralogous relationships with Antarctic species. These findings at the molecular level suggest that the two polar environments have followed markedly distinct pathways in the evolution of regulatory mechanisms of the respiratory system.</t>
  </si>
  <si>
    <t>CNR, Inst Prot Biochem, I-80125 Naples, Italy</t>
  </si>
  <si>
    <t>Consiglio Nazionale delle Ricerche (CNR); Istituto di Biochimica delle Proteine (IBP-CNR)</t>
  </si>
  <si>
    <t>Verde, C (corresponding author), CNR, Inst Prot Biochem, Via Marconi 12, I-80125 Naples, Italy.</t>
  </si>
  <si>
    <t>WOS:000183287900030</t>
  </si>
  <si>
    <t>Criscuolo, F; Chastel, O; Gabrielsen, GW; Lacroix, A; Le Maho, Y</t>
  </si>
  <si>
    <t>Relationship between nutritional status and prolactin levels in the Common Eider, a capital incubator</t>
  </si>
  <si>
    <t>Somateria mollissima; prolactin; Svalbard; incubation; feeding patterns</t>
  </si>
  <si>
    <t>PARENTAL CARE; APTENODYTES PATAGONICUS; ENERGY-EXPENDITURE; HELPING-BEHAVIOR; ENDOCRINE BASIS; KING PENGUIN; BLUE PETREL; SECRETION; GEESE; BIRDS</t>
  </si>
  <si>
    <t>In Common Eider, only females incubate while fasting for 25 days. When their body condition is deteriorated at hatching, females often abandon their ducklings. To therefore investigate how body condition may mediate parental care in eiders, we studied the effect of a change in the duration of incubation on their plasma prolactin, i.e. the main parental hormone in birds. Birds with shortened incubation have higher body masses and showed higher levels of plasma prolactin levels at hatching than the control group, suggesting that circulant prolactin at hatching is linked to body condition. The females that underwent an extended incubation started to feed again and displayed a normal body mass but unexpectedly a very high plasma prolactin concentration.</t>
  </si>
  <si>
    <t>CNRS, Ctr Ecol &amp; Physiol Energet, F-67087 Strasbourg 2, France</t>
  </si>
  <si>
    <t>Centre National de la Recherche Scientifique (CNRS); Universites de Strasbourg Etablissements Associes; Universite de Strasbourg</t>
  </si>
  <si>
    <t>CNRS, Ctr Ecol &amp; Physiol Energet, 23 Rue Becquerel, F-67087 Strasbourg 2, France.</t>
  </si>
  <si>
    <t>f.criscuolo@c-strasbourg.fr</t>
  </si>
  <si>
    <t>Gabrielsen, Geir Wing/JDC-6415-2023</t>
  </si>
  <si>
    <t>WOS:000183287900031</t>
  </si>
  <si>
    <t>De Broyer, C; Jazdzerski, K; Dauby, P</t>
  </si>
  <si>
    <t>Biodiversity patterns in the Southern Ocean: lessons from Crustacea</t>
  </si>
  <si>
    <t>Crustaceans; Antarctic; biodiversity; biogeography; latitudinal gradients; taxonomic tools</t>
  </si>
  <si>
    <t>WEDDELL SEA; GAMMARIDEAN AMPHIPODS; DECAPOD CRUSTACEANS; DIVERSITY; BIOGEOGRAPHY; EVOLUTION; ACANTHONOTOZOMATIDAE; MALACOSTRACA; ANTARCTICA; RADIATION</t>
  </si>
  <si>
    <t>The accurate assessment of Antarctic biodiversity, the understanding of its ecofunctional role and the requirements for its conservation are recognized current priorities in the context of global environmental change and accelerating loss of biodiversity. Fauna and flora inventories, taxonomy and classification, processes driving the origin, maintenance and change of biodiversity, roles of biodiversity in ecosystem functioning, conservation, restoration, sustainable use and monitoring of biodiversity are on the biodiversity research agenda over the world. On this background, a review of some recent developments in marine biodiversity research in the Antarctic is made using the Crustacca as a model group. Emphasis is put on some general patterns of biodiversity and biogeography. The up-to-date coverage of surveys of the Antarctic marine fauna is tentatively assessed as well as the needs in taxonomic expertise and tools, information technology resources and expanding exploratory surveys.</t>
  </si>
  <si>
    <t>Inst Royal Sci Nat Belgique, Dept Invertebres Carcinol, B-1000 Brussels, Belgium</t>
  </si>
  <si>
    <t>De Broyer, C (corresponding author), Inst Royal Sci Nat Belgique, Dept Invertebres Carcinol, Rue Vautier 29, B-1000 Brussels, Belgium.</t>
  </si>
  <si>
    <t>claude.debroyer@naturalsciences.be</t>
  </si>
  <si>
    <t>WOS:000183287900032</t>
  </si>
  <si>
    <t>Koubbi, P; Duhamel, G; Harlay, X; Eastwood, PD; Durand, I; Park, YH</t>
  </si>
  <si>
    <t>Distribution of larval Krefftichthys anderssoni (Myctophidae, Pisces) at the Kerguelen Archipelago (Southern Indian Ocean) modelled using GIS and habitat suitability</t>
  </si>
  <si>
    <t>Krefftichthys anderssoni; fish larvae; GIS; spatial distribution; Kerguelen</t>
  </si>
  <si>
    <t>MESOPELAGIC FISH ASSEMBLAGES; FRONTAL STRUCTURE; ICHTHYOPLANKTON; CROZET; SECTOR; SEALS; BASIN; DIET</t>
  </si>
  <si>
    <t>Mesopelagic fish are influenced by environmental factors including oceanography and bathymetry. Surveys conducted in the Crozet and Kerguelen Archipelagos have shown that Krefftichthys anderssoni (Lonnberg) is one of the main mesopelagic fish occurring near the Antarctic Polar Front. K. anderssoni larval distribution was mapped using a Geographic Information System (GIS). Larval habitat suitability was modelled with depth and hydrology. The aim of modelling was to determine the range of environmental parameters that are suitable for each developmental stage. Larval K anderssoni were oceanic and more abundant near the Antarctic Polar Front and the Subantarctic Front during different stages of its life cycle.</t>
  </si>
  <si>
    <t>Univ Littoral Cote dOpale, UMR ELICO Ichtyoecol Marine, F-62930 Wimereux, France</t>
  </si>
  <si>
    <t>Universite du Littoral-Cote-d'Opale</t>
  </si>
  <si>
    <t>Univ Littoral Cote dOpale, UMR ELICO Ichtyoecol Marine, 32 Ave Foch, F-62930 Wimereux, France.</t>
  </si>
  <si>
    <t>Koubbi@univ-littoral.fr</t>
  </si>
  <si>
    <t>Koubbi, Philippe/D-5873-2015</t>
  </si>
  <si>
    <t>WOS:000183287900033</t>
  </si>
  <si>
    <t>Stewart, B; Yochem, PK; Gelatt, TS; Siniff, DB</t>
  </si>
  <si>
    <t>The pack ice niche of Weddell seals in the Ross Sea</t>
  </si>
  <si>
    <t>Weddell seal; Leptonychotes weddellii; Antarctica; foraging ecology; satellite tracking; pinnipeds; fast ice; pack ice; Ross Sea</t>
  </si>
  <si>
    <t>LEPTONYCHOTES-WEDDELLI; ELEPHANT SEALS; MCMURDO SOUND; ANTARCTICA; MIGRATION; SURVIVAL; PENGUIN</t>
  </si>
  <si>
    <t>Weddell seals (Leptonychotes weddellii) are familiar residents of coastal fast ice habitats around the Antarctic Continent in spring and summer when they are breeding. Pups disappear shortly after being weaned when around six weeks old and survivors generally aren't seen again at those fast ice colonies until they are sexually mature when 4 to 6 years old. To determine the whereabouts of pups during their first year of independent life we monitored 19 weaned pups between 1997 and 2000 by satellite telemetry for 8 to 395 days. We also investigated the role of pack ice habitats in Weddell seal ecology during a survey cruise in late summer 1999/2000 aboard the RVIB Nathaniel B. Palmer. We found that pack ice habitats are important niches for young seals and resting, non-reproductive adults for foraging and molting. Yet other seals may not disperse but remain instead in the fast ice niche for most of their lives. Differences in the migratory and dispersal tendencies among seals may have important structuring effects on demography, trends, and life histories of local populations of Weddell seals.</t>
  </si>
  <si>
    <t>Hubbs Sea World Res Inst, San Diego, CA USA</t>
  </si>
  <si>
    <t>Stewart, B (corresponding author), Hubbs Sea World Res Inst, 2595 Ingraham St, San Diego, CA USA.</t>
  </si>
  <si>
    <t>WOS:000183287900034</t>
  </si>
  <si>
    <t>Hahn, S; Ritz, MS; Peter, HU</t>
  </si>
  <si>
    <t>Living in mixed pairs - Better for fitness? A study in Skuas</t>
  </si>
  <si>
    <t>hybridisation; Antarctica; sexual size dimorphism; King George Island</t>
  </si>
  <si>
    <t>SOUTH POLAR SKUA; CATHARACTA-MACCORMICKI; ENIGMATIC PHYLOGENY; HYBRIDIZATION; DNA</t>
  </si>
  <si>
    <t>Brown Skuas (Catharacta antarctica lonnbergi) and South Polar Skuas (C. maccormicki) hybridise in the region of the Antarctic Peninsula, South Shetlands and South Orkneys. The number of mixed pairs was increasing during the last 22 years and actually forms 10-16% of the total skua population in two breeding sites on King George Island. In 19 mixed pairs females were Brown Skuas and were of similar body size as females in pure lonnbergi pairs. Contrary, mixed pair males were larger than the average of breeding maccormicki males. The growth performance of chicks in all groups resembled in growth constant k, but differed significantly in the asymptotic value and t(0) (inflection point of growth curve) for head and mass development. Mixed pair chicks had intermediate parameters between Brown Skua and the smaller South Polar Skua offspring. In three consecutive seasons mixed pairs were more successful than pure Brown Skua pairs by 17% and produced on average 1.1 chicks. The reproductive success of South Polar Skuas was similar to mixed pairs. Due to the higher reproductive output of mixed pairs and an expected similar hybrid survival the ratio of hybrids per pure C. a. lonnbergi pairs will further increase in the future.</t>
  </si>
  <si>
    <t>Univ Jena, Inst Ecol, D-07743 Jena, Germany</t>
  </si>
  <si>
    <t>Friedrich Schiller University of Jena</t>
  </si>
  <si>
    <t>Hahn, S (corresponding author), Univ Jena, Inst Ecol, Dronburger Str 159, D-07743 Jena, Germany.</t>
  </si>
  <si>
    <t>Ritz, Markus S./A-5321-2008</t>
  </si>
  <si>
    <t>WOS:000183287900035</t>
  </si>
  <si>
    <t>Smith, RIL</t>
  </si>
  <si>
    <t>The enigma of Colobanthus quitensis and Deschampsia antarctica in Antarctica</t>
  </si>
  <si>
    <t>Colobanthus quitensis; Deschampsia antarctica; Antarctica; success; adaptations</t>
  </si>
  <si>
    <t>ULTRAVIOLET-B RADIATION; SOUTH-SHETLAND-ISLANDS; VASCULAR PLANTS; DNA AMOUNTS; GROWTH; REPRODUCTION; POPULATION; GRASS; PEAT</t>
  </si>
  <si>
    <t>The biological attributes of Colobanthus quitensis and Deschampsia antarctica are considered in relation to their remarkable success in the maritime Antarctic. However, none of the data from the many published research studies provide convincing evidence that these two species possess any obvious unique or specialised adaptations which might account for this success. While their occurrence appears to have spanned much of the Holocene, there is no evidence that there have ever been any other native vascular plant species in the maritime Antarctic. Why no other taxa have succeeded in colonising this region is unclear. Further intensive studies of these native species, and of other potential immigrants, including at the sub-cellular and molecular level may provide a better understanding of their enigmatic success in the maritime Antarctic.</t>
  </si>
  <si>
    <t>British Antarctic Survey, NERC, Cambridge CB3 0ET, England</t>
  </si>
  <si>
    <t>UK Research &amp; Innovation (UKRI); Natural Environment Research Council (NERC); NERC British Antarctic Survey</t>
  </si>
  <si>
    <t>British Antarctic Survey, NERC, Madingley Rd, Cambridge CB3 0ET, England.</t>
  </si>
  <si>
    <t>r.lewis-smith@bas.ac.uk</t>
  </si>
  <si>
    <t>WOS:000183287900036</t>
  </si>
  <si>
    <t>Pisanu, B; Chapuis, JL</t>
  </si>
  <si>
    <t>Helminths from introduced mammals on sub-Antarctic islands</t>
  </si>
  <si>
    <t>introduced mammals; Helminth; species richness; sub-Antarctic islands</t>
  </si>
  <si>
    <t>PARASITES; KERGUELEN; RICHNESS; CROZET; RATTUS; MICE</t>
  </si>
  <si>
    <t>Based on bibliographic data, the specific composition of the helminth fauna in height species of Mammals (three Rodents, one Lagomorph, three Ungulates and one Carnivore) introduced on sub-Antarctic Islands revealed the dominance of monoxenic nematodes specific to their host species (16 out of 17 species), and two heteroxenic cestodes. The comparison with surveys of helminth species harboured by continental populations of mammals confirmed a reduction of the helminth specific richness on sub-Antarctic islands by the very low proportion of heteroxenic taxa. The absence of native terrestrial mammals and the depauperate terrestrial animal communities mainly contributed to the depauperate helminth fauna found from the introduced mammals on the sub-Antarctic islands. Monoxenic nematodes with highly reduced host spectrum were the species most likely to maintain in these populations originated by small number of individuals. Founder effect is also likely to explain the qualitative, but not the quantitative, expression of the helminth specific richness in these hosts introduced on cold, and remote oceanic islands.</t>
  </si>
  <si>
    <t>Museum Natl Hist Nat, Dept Ecol &amp; Gest Biodiversite, USM 0304, UMR 6553 Ecobio CNRS, F-75005 Paris, France</t>
  </si>
  <si>
    <t>Museum National d'Histoire Naturelle (MNHN); Centre National de la Recherche Scientifique (CNRS); CNRS - Institute of Ecology &amp; Environment (INEE)</t>
  </si>
  <si>
    <t>Pisanu, B (corresponding author), Museum Natl Hist Nat, Dept Ecol &amp; Gest Biodiversite, USM 0304, UMR 6553 Ecobio CNRS, 36 Rue St Hilaire, F-75005 Paris, France.</t>
  </si>
  <si>
    <t>chapuis@mnhn.fr</t>
  </si>
  <si>
    <t>WOS:000183287900037</t>
  </si>
  <si>
    <t>Komárek, J; Komárek, O</t>
  </si>
  <si>
    <t>Diversity of cyanobacteria in seepages of King George Island, maritime Antarctica</t>
  </si>
  <si>
    <t>cyanobacteria; diversity; ecology; seepages; mats; maritime; Antarctica</t>
  </si>
  <si>
    <t>Microalgal communities with dominant cyanobacteria (cyanoprokaryotes) develop in meltwater seepages in deglaciated areas of the maritime Antarctica during the Antarctic summer season. Our results from King George Island show that these communities have a characteristic succession, vertical structure and species composition. About 15 cyanobacterial species were found dominant in this habitat. The developed community formed thick, stratified mats with different species in layers. Dominant cyanoprokaryotes belonged to the genera Leptolyngbya, Phormidium, Nostoe and Tolypothrix, whose diversity and ecology were evaluated by statistical methods. The main environmental factors (temperature from 2.2degrees-8.2degreesC, light regime, nutrition) were described. Cyanobacterial communities in seepages in maritime Antarctica represent a unique biocenosis important in terrestrial successional processes. The communities appear to be endemic to coastal Antarctic regions in terms of species composition, distinctive mat structure and seasonality. They are a unique feature of Antarctic living resources, and should be protected from human impacts.</t>
  </si>
  <si>
    <t>Univ S Bohemia, Fac Biol Sci, CZ-37005 Ceske Budejovice, Czech Republic</t>
  </si>
  <si>
    <t>University of South Bohemia Ceske Budejovice; Czech Academy of Sciences</t>
  </si>
  <si>
    <t>komarek@butbn.cas.cz; okomar@sci.muni.cz</t>
  </si>
  <si>
    <t>Komarek, Ondrej/J-9203-2014; Komárek, Ondřej/AAA-9707-2020; Komarek, Jiri/H-1597-2014</t>
  </si>
  <si>
    <t>Komarek, Ondrej/0000-0002-3855-3335;</t>
  </si>
  <si>
    <t>WOS:000183287900038</t>
  </si>
  <si>
    <t>Göttlich, E; De Hoog, GS; Genilloud, O; Jones, BE; Marinelli, F</t>
  </si>
  <si>
    <t>MICROMAT:: Culturable fungal diversity in microbial mats of Antarctic lakes</t>
  </si>
  <si>
    <t>Antarctic lakes; fungi; extremophiles; psychrophiles</t>
  </si>
  <si>
    <t>WINDMILL ISLANDS; TEMPERATURE; GROWTH; YEASTS</t>
  </si>
  <si>
    <t>In the framework of an investigation of the extremophilic biodiversity of Antarctic lake microbial mats, 26 species of filamentous fungi belonging to 15 genera were isolated, in addition to 11 species of yeasts belonging to 6 genera. Species were identified phenetically and by sequencing of the rDNA Internal Transcribed Spacer (ITS) domain. It is concluded that Thelebolus and some basidiomycetous yeasts are probably the only ones which are metabolically active under Antarctic conditions.</t>
  </si>
  <si>
    <t>IWW, Rhein Westfal Inst Wasserforsch, D-45476 Mulheim, Germany</t>
  </si>
  <si>
    <t>Genilloud, Olga/I-2779-2015; marinelli, flavia/H-2495-2012</t>
  </si>
  <si>
    <t>WOS:000183287900039</t>
  </si>
  <si>
    <t>Waterhouse, EJ</t>
  </si>
  <si>
    <t>From microbes to milestones: science and Antarctic environmental policy</t>
  </si>
  <si>
    <t>Antarctic environmental management; Environmental Protocol; monitoring; state of the environment reporting; scientific information; environmental policy</t>
  </si>
  <si>
    <t>A decade on from the signing of the Environmental Protocol, much progress has been made in minimising the impacts of human activities in Antarctica. We have witnessed significant improvements in environmental impact assessment and monitoring processes, waste storage and disposal practices, and protected area management. International forums are in place to address environmental issues and there is established cooperation between decision makers, national operators, the science community, and industry groups. Science has played a significant role in both the formulation of policy within these forums and in its implementation. However, many environmental challenges still remain, on the land, in the air, and in the oceans. Coordinated, multi-operator approaches to environmental impact assessment and monitoring are lacking, we continue to avoid the issue of cumulative impacts, the current protected area system is not representative of all of Antarctica's values, and many existing policies have been developed in the absence of adequate data and information. As we become more refined in our environmental management approaches, we will also demand a more refined understanding of the systems we aim to protect, presented in a manner that is targeted and comprehensible. One such way of integrating and presenting information needed for good decision making is through state of the environment reporting processes. Reporting provides a means by which policy makers can access key information about the environment over a range of time scales. Decision makers are increasingly demanding sound scientific information to develop environmental policy and to measure its effectiveness. However, the links between policy makers and complex data and research outcomes are often not explicit. If Antarctic research, including studies of biological systems and human impacts on those systems, is to effectively influence policy and motivate change, then increasing attention needs to be given to developing and maintaining these links.</t>
  </si>
  <si>
    <t>Minist Fisheries, Wellington, New Zealand</t>
  </si>
  <si>
    <t>Waterhouse, EJ (corresponding author), Minist Fisheries, POB 1020, Wellington, New Zealand.</t>
  </si>
  <si>
    <t>WOS:000183287900040</t>
  </si>
  <si>
    <t>Conlan, KE; Kim, SL; Lenihan, HS; Oliver, JS</t>
  </si>
  <si>
    <t>Benthic community changes at McMurdo Station: a response to sewage abatement?</t>
  </si>
  <si>
    <t>benthos; McMurdo Station; sewage</t>
  </si>
  <si>
    <t>MARINE POLLUTION; ANTARCTICA; INVERTEBRATES; DISTURBANCE</t>
  </si>
  <si>
    <t>Sewage, hydrocarbons, and heavy metals contaminate the Ross Island seabed near McMurdo Station, Antarctica. Outside the contaminated zone is a highly diverse benthos composed of abundant deposit feeders, suspension feeders.. and predators. Only a fragment of this community exists within the contaminated area. Deposit feeding polychaetes that are typical of organic contamination dominate the benthos at the sewage outfall. Downcurrent of the outfall, there is a mix of fauna typical of both the outfall and reference sites, along with species unique to the area. Multivariate analyses of samples collected over 1988-1998 show a marked reduction in diversity of the fauna following extension of the sewage outfall in 1992 but some increase in 1998. Downcurrent of the outfall, a large change in community composition has also occurred since extension of the outfall in 1992. However, there has been a promising increase in resemblance to the undisturbed community in 1997 and 1998. Hopefully, further improvements will become evident with initiation of sewage treatment in 2003.</t>
  </si>
  <si>
    <t>Canadian Museum Nat, Ottawa, ON K1P 6P4, Canada</t>
  </si>
  <si>
    <t>Conlan, KE (corresponding author), Canadian Museum Nat, POB 3443,Stn D, Ottawa, ON K1P 6P4, Canada.</t>
  </si>
  <si>
    <t>WOS:000183287900041</t>
  </si>
  <si>
    <t>Kennicutt, MC; Wolff, GA; Klein, A; Montagna, P</t>
  </si>
  <si>
    <t>Spatial and temporal scales of human disturbance - McMurdo Station, Antarctica - preliminary findings</t>
  </si>
  <si>
    <t>McMurdo Station; contaminants; hydrocarbons; terrestrial; marine; water; sediment; benthic; Winter Quarters Bay; impact</t>
  </si>
  <si>
    <t>McMurdo Station, established in 1955, is the largest inhabited settlement on the continent of Antarctica with a seasonal population of more than 1,000 people. Over time, human activities have contributed to disruption of terrestrial and marine habitats at McMurdo. A three-year program was initiated in 1999 at McMurdo Station to examine these habitats. The goals of the research are to: a) establish the footprint of the station and determine whether it is increasing or decreasing in size over time and in response to management decisions, b) establish whether known areas of heavy impact are stable and contained by efforts to date to remediate the sites, c) document the impact or effect of specific activities, d) provide an overall assessment of the condition of the system, and e) develop a long-term monitoring program. More than 1,700 terrestrial and marine samples were randomly collected during the first two years of the program. Some preliminary findings suggest: Terrestrial: physical disturbance footprint was established early in the station's history; Total Petroleum Hydrocarbon (TPH) footprint appears to be decreasing; no apparent trace metal footprint for the station. Marine: physical disturbance is generally restricted to Winter Quarters Bay (WQB) and the immediate environs; benthic community disturbance is generally restricted to WQB; chemical contamination is generally restricted to the sediments located in WQB; low levels of contamination are detected within I km of WQB. The sewage discharges are detected at much greater distances from their source due to the sensitivity of the detection method and low background values. Water quality: There is little observable disturbance of water quality in the vicinity of the sewage outfall or WQB. Most effects are restricted to the benthic environment. These preliminary conclusions are further discussed and recommendations based on these initial samples and interim data analyses are presented.</t>
  </si>
  <si>
    <t>Texas A&amp;M Univ, Geochem &amp; Environm Res Grp, College Stn, TX 77845 USA</t>
  </si>
  <si>
    <t>Texas A&amp;M University System; Texas A&amp;M University College Station</t>
  </si>
  <si>
    <t>Kennicutt, MC (corresponding author), Texas A&amp;M Univ, Geochem &amp; Environm Res Grp, 833 Graham Rd, College Stn, TX 77845 USA.</t>
  </si>
  <si>
    <t>Montagna, Paul A./J-8208-2017</t>
  </si>
  <si>
    <t>Montagna, Paul A./0000-0003-4199-3312</t>
  </si>
  <si>
    <t>WOS:000183287900042</t>
  </si>
  <si>
    <t>Stark, JS; Riddle, MJ</t>
  </si>
  <si>
    <t>Human impacts in marine benthic communities at Casey Station: description, determination and demonstration of impacts</t>
  </si>
  <si>
    <t>benthic; environmental impact; heavy metal; hydrocarbon; pollution; soft-sediment macrofauna</t>
  </si>
  <si>
    <t>ANTARCTICA</t>
  </si>
  <si>
    <t>Human impacts on soft-sediment assemblages were investigated at Casey Station, Antarctica, using a three stage approach: 1) description of patterns at reference and potentially impacted areas; 2) determination of levels of stress and of correlations between assemblage patterns and contamination; and 3) demonstration of a causal link between observed patterns and contamination through manipulative field experiments. Surveys of soft-sediment assemblages were conducted using a hierarchical, spatially nested sampling design. Assemblages at potentially impacted locations were significantly different to reference locations, and displayed attributes characteristic of disturbed communities. The differences between reference and polluted locations were highly correlated with concentrations of heavy metals. The effect of heavy metals and hydrocarbons on recolonisation of sediment was examined in a series of field experiments. It was found that contamination of marine sediments resulted in significantly different assemblages in comparison to control sediment. Thus a potential causal link was established for the differences between reference and impacted locations around Casey Station.</t>
  </si>
  <si>
    <t>Australian Antarctic Div, Kingston, Tas 7050, Australia</t>
  </si>
  <si>
    <t>Australian Antarctic Division</t>
  </si>
  <si>
    <t>Stark, JS (corresponding author), Australian Antarctic Div, Channel Highway, Kingston, Tas 7050, Australia.</t>
  </si>
  <si>
    <t>jonny.stark@aad.gov.au</t>
  </si>
  <si>
    <t>Stark, Jonathan/ABF-4025-2020</t>
  </si>
  <si>
    <t>Stark, Jonathan/0000-0002-4268-8072</t>
  </si>
  <si>
    <t>WOS:000183287900043</t>
  </si>
  <si>
    <t>Riddle, MJ; Scouller, RC; Snape, I; Stark, JS; Kratzmann, SM; Stark, SC; King, CK; Duquesne, S; Gore, DB</t>
  </si>
  <si>
    <t>From chemical monitoring to biological meaning: extraction techniques and the biological interpretation of sediment chemistry data from the Casey region</t>
  </si>
  <si>
    <t>heavy metals; sediments; extraction techniques; Antarctica; benthos; monitoring</t>
  </si>
  <si>
    <t>METAL CONCENTRATIONS; LATERNULA-ELLIPTICA; TRACE-METALS; ANTARCTICA; POLLUTION; CLAM</t>
  </si>
  <si>
    <t>Although chemical studies are included routinely in environmental monitoring programs, chemical data are often not absolute values with unambiguous ecological meaning. Nevertheless, most guidelines that govern permissible discharge concentrations or decisions about whether to remediate contaminated sites are based on the concentrations of contaminants in sediments or water rather than more involved and costly studies based on the identification of biological impacts. The example of heavy metal contamination leaching from an abandoned waste disposal site into the marine environment near Casey Station is used to explore the effects of extraction method (partial extraction using 1M HCl and a total digest with (HF + HNO3 + HCl) on the interpretation of heavy metal analyses. Data from the partial extraction most clearly distinguished between control and impacted sites. There was a close association between 1M HCl heavy metal data from sediments and heavy metals concentrations in tissues of the bivalve, Laternula elliptica, and the heart urchins, Abatus nimrodi and A. ingens, collected at the same sites. There was no such association between the total digest data and the biota. Unless levels of chemicals in the environment are of concern per se, chemical monitoring must reflect effects on the biota. Analyses of heavy metals based on partial extraction using 1M HClI provide biologically meaningful data. When the dose/response characteristics of Antarctic biota are better understood, data from partial extractions may be a useful proxy for monitoring the biological effects of heavy metals.</t>
  </si>
  <si>
    <t>Riddle, MJ (corresponding author), Australian Antarctic Div, Channel Highway, Kingston, Tas 7050, Australia.</t>
  </si>
  <si>
    <t>King, Catherine K/G-7059-2017; Stark, Jonathan/ABF-4025-2020</t>
  </si>
  <si>
    <t>King, Catherine K/0000-0003-3356-0381; Stark, Jonathan/0000-0002-4268-8072; Gore, Damian/0000-0002-0377-8518</t>
  </si>
  <si>
    <t>WOS:000183287900044</t>
  </si>
  <si>
    <t>Woehler, EJ; Riddle, MJ; Ribic, CA</t>
  </si>
  <si>
    <t>Long-term population trends in southern giant petrels in East Antarctica</t>
  </si>
  <si>
    <t>southern giant petrels; human impacts; disturbance; management; conservation</t>
  </si>
  <si>
    <t>Long-term (40 year+) data from three southern giant petrel breeding populations in the Australian Antarctic Territory (AAT) in East Antarctica indicate that all three breeding populations decreased rapidly following their discovery; in some cases the decreases exceeded 90%. Human disturbance to breeding birds at their nest, mainly during banding for scientific studies, is believed to be the primary factor causing these decreases. In the early 1980s the Australian Antarctic Division (AAD) introduced a management regime that strictly limited access to the birds and restricted the types of research that could be undertaken at all three breeding localities. The populations at two of the localities appear to be recovering, as the numbers of breeding birds present have increased since the 1980s while the third population may have stabilised at a low number. A management plan for the Frazier Islands was initiated in mid-2001 specifically to provide greater protection for the largest breeding population of southern giant petrels in continental Antarctica.</t>
  </si>
  <si>
    <t>Woehler, EJ (corresponding author), Australian Antarctic Div, Channel Highway, Kingston, Tas 7050, Australia.</t>
  </si>
  <si>
    <t>WOS:000183287900045</t>
  </si>
  <si>
    <t>Corsolini, S; Olmastroni, S; Ademollo, N; Minucci, G; Focardi, S</t>
  </si>
  <si>
    <t>Persistent organic pollutants in stomach contents of Adelie penguins from Edmonson Point (Victoria Land, Antarctica)</t>
  </si>
  <si>
    <t>PCB; pesticides; TEQ; Adelie penguin; feeding ecology; Antarctica</t>
  </si>
  <si>
    <t>POLYCHLORINATED-BIPHENYLS; ROSS SEA; PCBS; DIBENZOFURANS; PESTICIDES</t>
  </si>
  <si>
    <t>Stomach contents (n=43) of Adelie penguin (Pygoscelis adeliae) nesting at Edmonson Point (Ross Sea) (74degrees20'56.7S, 165degrees08'10.03E) were analysed. Gas chromatography revealed concentrations of polychlorinated biphenyls (PCBs), including coplanar congeners, at 1.01 ng/g wet wt,pp'DDE at 5.80 ng/g wet wt and and hexachlorobenzene (HCB) at 4.70 ng/g wet wt. Average input of these persistent organic pollutants (POPs) through diet also was evaluated. The following concentration gradient of PCB isomer-specific classes was revealed: hepta-CB &gt; hexa-CB &gt; penta-CB. The most abundant congeners were PCB 189, PCB 134 and PCB 151, while PCB126 was the most abundant among coplanar PCBs. Toxic Equivalency Factors (TEFs) were also used to evaluate toxicity. Correlation was found between contamination and penguins' diet in relation to sex during the mating season, when observations took place. Foraging sites were identified by satellite trackers in two study periods.</t>
  </si>
  <si>
    <t>Univ Siena, Dipartimento Sci Ambientali, I-53100 Siena, Italy</t>
  </si>
  <si>
    <t>Univ Siena, Dipartimento Sci Ambientali, Via Cerchia 3, I-53100 Siena, Italy.</t>
  </si>
  <si>
    <t>corsolini@unisi.it</t>
  </si>
  <si>
    <t>ademollo, nicoletta/AAY-4811-2020; Corsolini, Simonetta/B-9460-2012; OLMASTRONI, Silvia/G-6267-2018</t>
  </si>
  <si>
    <t>Corsolini, Simonetta/0000-0002-9772-2362; OLMASTRONI, Silvia/0000-0002-9319-9914</t>
  </si>
  <si>
    <t>WOS:000183287900046</t>
  </si>
  <si>
    <t>Patterson, DL; Easter-Pilcher, AL; Fraser, WR</t>
  </si>
  <si>
    <t>The effects of human activity and environmental variability on long-term changes in Adelie penguin populations at Palmer Station, Antarctica</t>
  </si>
  <si>
    <t>Antarctica; Palmer Station; Adelie penguin; human impacts; tourism; landscape effects; population trends</t>
  </si>
  <si>
    <t>PYGOSCELIS-ADELIAE; BREEDING SUCCESS</t>
  </si>
  <si>
    <t>To assess whether human activities due to tourism were negatively impacting Adelie penguins (Pygoscelis adeliae), we compared long-term population trends at visited and control sites on Torgersen Island considering underlying factors associated with environmental variability. To this end, a hillshade model of Torgersen Island was developed; linear regression and discriminant function analyses were used to examine breeding population/landscape interactions. Results suggest that variability in population trends on Torgersen Island are forced primarily by colony aspect and colony area. Colonies with south-facing aspects are decreasing faster than colonies with north-facing aspects. Smaller colonies are decreasing faster than larger colonies. Both trends are likely due to interactions between the effects of increased snow deposition and decreasing egg and/or chick survival due to predation and flooding. To examine human influences, subsequent analyses were standardised by pairing Adelie penguin colonies according to area and aspect on the visited and control sides of Torgersen Island. Tourism appears to have no detectable impact on Adelie penguin breeding population size or breeding success; comparisons between population trends in visited and control sides of the island were either not significant or inconsistent with site-specific tourist visitation patterns.</t>
  </si>
  <si>
    <t>Polar Oceans Res Grp, Sheridan, MT USA</t>
  </si>
  <si>
    <t>Patterson, DL (corresponding author), Polar Oceans Res Grp, POB 368, Sheridan, MT USA.</t>
  </si>
  <si>
    <t>WOS:000183287900047</t>
  </si>
  <si>
    <t>Hullé, M; Pannetier, D; Maurice, D; Courmont, L; Chaillon, C; Chaillon, PE; Saccone, P; Hébert, C; Gracia, M; Buffin, J; Simon, JC; Frenot, Y</t>
  </si>
  <si>
    <t>Aphids from Kerguelen and Crozet Islands, Subantarctic</t>
  </si>
  <si>
    <t>Homoptera; Aphididae; invasive species; global change</t>
  </si>
  <si>
    <t>Terrestrial ecosystems of subantarctic islands are usually characterised by a low species richness and a high endemism. Since the 19(th) century, the increase in human activities and number of landings have favoured numerous accidental and wilful introductions. Almost nothing is known of the species diversity and biology of aphids of subantarctic islands. In this study, aphids were surveyed in a wide range of locations and host plants during a four years survey on Kerguelen Islands and Possession Island (Crozet archipelago). Six species were recorded in the wild and/or in glasshouses on Kerguelen and Crozet islands. All these species have world-wide distributions and are polyphagous. They have probably been introduced in the two islands along with their host plants through the recent increase in human activities. The introduction of phytophagous invertebrates in ecosystems dominated by decomposers may have significant impacts.</t>
  </si>
  <si>
    <t>INRA, UMR Bi03P, F-35653 Le Rheu, France</t>
  </si>
  <si>
    <t>INRAE</t>
  </si>
  <si>
    <t>hulle@rennes.inra.fr</t>
  </si>
  <si>
    <t>Saccone, Patrick/AHB-2366-2022</t>
  </si>
  <si>
    <t>Saccone, Patrick/0000-0001-8820-593X</t>
  </si>
  <si>
    <t>WOS:000183287900048</t>
  </si>
  <si>
    <t>Kaup, E; Burgess, JS</t>
  </si>
  <si>
    <t>Natural and human impacted stratification in the shallow lakes of the Larsemann Hills, Antarctica</t>
  </si>
  <si>
    <t>freezeout; ice cover; thermal stability; nutrients; delta O-18</t>
  </si>
  <si>
    <t>LAND</t>
  </si>
  <si>
    <t>Most of the lakes in the Larsemann Hills are well-mixed during open water. However in certain shallow brackish lakes freezeout and dilution from ice cover can result in substantial vertical density gradients. In particular these gradients were found sufficient to resist the mixing effect of katabatic winds in Lake Reid which has topographical wind shade. In the epi- and hypolimnion large differences in temperature, conductivity, delta(18)O and nutrients were recorded. High pH and dissolved oxygen levels indicated intensive algal photosynthesis in the hypolimnion. Lake No Worries has received considerable inputs of silt, organic matter and nutrients from Zhongshan Station. Accordingly increased turbidity in this formerly transparent oligotrophic lake has resulted in transformation from the inverse temperature stratification, seen in the other natural lakes in the area, into direct stratification with increased water temperatures in the upper layers. Cooling waters from the station power generation made a smaller contribution to the heat balance of the lake.</t>
  </si>
  <si>
    <t>Tallinn Univ Technol, Inst Geol, EE-10143 Tallinn, Estonia</t>
  </si>
  <si>
    <t>Tallinn University of Technology</t>
  </si>
  <si>
    <t>Kaup, E (corresponding author), Tallinn Univ Technol, Inst Geol, Estonia Ave 7, EE-10143 Tallinn, Estonia.</t>
  </si>
  <si>
    <t>kaup@gi.ee</t>
  </si>
  <si>
    <t>WOS:000183287900049</t>
  </si>
  <si>
    <t>Laybourn-Parry, J</t>
  </si>
  <si>
    <t>Polar limnology, the past, the present and the future</t>
  </si>
  <si>
    <t>lakes; microbial loop; Arctic; Antarctic; Productivity</t>
  </si>
  <si>
    <t>METALIMNETIC CRYPTOMONAS POPULATION; ICE-COVERED LAKES; FRESH-WATER; VESTFOLD HILLS; SALINE LAKES; PHYTOPLANKTON DYNAMICS; ULTRAVIOLET-RADIATION; MICROBIAL PLANKTON; ARCTIC LAKES; ANNUAL CYCLE</t>
  </si>
  <si>
    <t>The last three decades have witnessed a large expansion in the data base on polar lakes. However, despite the greater logistic problems of Working in the Antarctic there is a much greater data base on these systems compared to the Arctic. Arctic lakes have more complex plankton communities comparable to those seen in lower latitudes. Antarctic lakes have truncated food chains with no fish, few or no zooplankton and a dominance of the microbial loop. Generally primary production is higher in the Arctic and this is largely attributable to higher temperatures in these systems and a longer growing season. Despite a more favourable light climate in their water columns Antarctic lakes are usually extremely unproductive. Survival strategies also differ and this is related to the time available for growth in the summer. The Antarctic summer is very short and the most successful organisms function throughout the year, so that they enter the summer as actively growing populations. Mixotrophy is an important strategy among the protozoa. Year round data sets show that in Antarctica productivity continues through the winter months. In snow-covered Arctic lakes no significant activity is apparent during winter, and even in spring light attenuation though snow and ice-cover is so high that primary production is not measureable. The limited evidence suggests that in the Arctic organisms,shut down' their activity during winter. The Antarctic is facing elevated UV radiation in spring in summer, and both polar regions are suffering the impact of global warming. The impacts of these changes need to be assessed. The future offers great opportunities to apply remote sensing to limnological investigations, the application of e-science and the exploitation of the biotechnological potential of polar micro-organisms.</t>
  </si>
  <si>
    <t>Univ Nottingham, Sch Life &amp; Environm Sci, Nottingham NG7 2RD, England</t>
  </si>
  <si>
    <t>University of Nottingham</t>
  </si>
  <si>
    <t>Laybourn-Parry, J (corresponding author), Univ Nottingham, Sch Life &amp; Environm Sci, Univ Pk, Nottingham NG7 2RD, England.</t>
  </si>
  <si>
    <t>WOS:000183287900050</t>
  </si>
  <si>
    <t>Domack, EW; Burnett, A; Leventer, A</t>
  </si>
  <si>
    <t>Domack, E; Leventer, A; Burnett, A; Bindshadler, R; Convey, P; Kirby, M</t>
  </si>
  <si>
    <t>Environmental setting of the Antarctic Peninsula</t>
  </si>
  <si>
    <t>ANTARCTIC PENINSULA CLIMATE VARIABILITY: HISTORICAL AND PALEOENVIRONMENTAL PERSPECTIVES</t>
  </si>
  <si>
    <t>ANTARCTIC RESEARCH SERIES</t>
  </si>
  <si>
    <t>International Workshop on Antarctic Peninsula Climate Variability</t>
  </si>
  <si>
    <t>APR, 2002</t>
  </si>
  <si>
    <t>Hamilton Coll, Clinton, NY</t>
  </si>
  <si>
    <t>Hamilton Coll</t>
  </si>
  <si>
    <t>LAST GLACIAL MAXIMUM; SEA-FLOOR EVIDENCE; ICE SHELF; CLIMATE VARIABILITY; SOUTHERN-OCEAN; PALMER-DEEP; HOLOCENE; HISTORY; MARINE; ISLAND</t>
  </si>
  <si>
    <t>Perhaps nowhere on the surface of the earth have environmental changes taken place with such rapidity and captured the interest of such a diverse community than those observed across the Antarctic Peninsula in the last 10 years. Wholesale decay of ice shelves, long considered to be the harbinger of climate warming, has spurred interest in our attempts to understand the interaction of earth systems on historical to millennial time scales. Because such changes in the cryosphere also impact regional ecosystems the biological community has also become deeply involved in the climate debate. While environmental changes now taking place across the Antarctic Peninsula are historically well documented by a diverse set of meteorological and remote sensing data, considerably less is known concerning the behavior of the atmosphere-ocean-cryosphere system during the past 10,000 years (the interglacial Holocene Epoch). The first purpose of this volume is to integrate our present understanding of current meteorological trends and compare them to records of past environmental change. The hope is that such a comparison will stimulate future studies that are directed at deciphering the key forcing mechanisms operating across the Antarctic Peninsula so that natural signals can be understood within the context of potential anthropogenic changes. The second key objective of the volume is to help further our understanding of how the paleoenvironmental archives are interpreted and what archives need to be acquired. Clearly progress toward both goals must be achieved together. We also hope that the volume will serve as a useful reference for students and senior investigators.</t>
  </si>
  <si>
    <t>Hamilton Coll, Dept Geol, Clinton, NY 13323 USA</t>
  </si>
  <si>
    <t>Hamilton College</t>
  </si>
  <si>
    <t>Hamilton Coll, Dept Geol, 198 Coll Hill Rd, Clinton, NY 13323 USA.</t>
  </si>
  <si>
    <t>edomack@hamilton.edu; aburnett@mail.colgate.edu; aleventer@mail.colgate.edu</t>
  </si>
  <si>
    <t>Burnett, Adam/ABE-4249-2020</t>
  </si>
  <si>
    <t>AMER GEOPHYSICAL UNION</t>
  </si>
  <si>
    <t>WASHINGTON</t>
  </si>
  <si>
    <t>2000 FLORIDA AVE NW, WASHINGTON, DC 20009 USA</t>
  </si>
  <si>
    <t>0066-4634</t>
  </si>
  <si>
    <t>0-87590-973-6</t>
  </si>
  <si>
    <t>ANTARCT RES SER</t>
  </si>
  <si>
    <t>Antarct. Res. Ser.</t>
  </si>
  <si>
    <t>Geology; Meteorology &amp; Atmospheric Sciences</t>
  </si>
  <si>
    <t>BBA14</t>
  </si>
  <si>
    <t>WOS:000224376000001</t>
  </si>
  <si>
    <t>King, JC; Turner, J; Marshall, GJ; Connolley, WM; Lachlan-Cope, TA</t>
  </si>
  <si>
    <t>Antarctic peninsula climate variability and its causes as revealed by analysis of instrumental records</t>
  </si>
  <si>
    <t>SURFACE PRESSURE; CIRCULATION; TEMPERATURE; PRECIPITATION; REANALYSIS; ANOMALIES; TRENDS; WIND</t>
  </si>
  <si>
    <t>Climate observations made since the mid twentieth century reveal that the Antarctic Peninsula is a region of extreme climate variability and change. The pattern of change is, however, both seasonally and spatially inhomogeneous. Limited data from the east (Weddell Sea) coast indicate that surface air temperatures here are rising at around 0.03 degreesC per year in all seasons. On the west (Bellingshausen Sea) coast, summer temperature trends are similar to those prevailing on the east coast but, in winter, warming trends of over 0.1 degreesC per year are observed, making this the most rapidly warming part of the Southern Hemisphere. Rapid warming is confined to the very lowest levels of the atmosphere and warming of the free troposphere over the Peninsula is not statistically significantly different from the Southern Hemisphere average. Interannual variations in winter temperatures on the west coast are strongly correlated with variations in atmospheric circulation and sea ice extent, suggesting that both atmospheric and ice/ocean processes may be contributing to the long-term warming. However, there is little observational evidence to support long-term atmospheric circulation changes. Coupled atmosphere-ocean general circulation model (AOGCM) experiments, forced with observed greenhouse gas increase, fail to reproduce the observed pattern of warming around the Peninsula. However, current AOGCMs may not be sophisticated enough or of high enough resolution to represent all of the processes that control climate on a regional scale around the Antarctic Peninsula.</t>
  </si>
  <si>
    <t>British Antarctic Survey, NERC, High Cross Madingley Rd, Cambridge CB3 0ET, England.</t>
  </si>
  <si>
    <t>WOS:000224376000002</t>
  </si>
  <si>
    <t>Simmonds, I</t>
  </si>
  <si>
    <t>Regional and large-scale influences on Antarctic peninsula climate</t>
  </si>
  <si>
    <t>SEA-ICE EXTENT; SOUTHERN-HEMISPHERE CIRCULATION; EXTRATROPICAL CYCLONE BEHAVIOR; NCEP-NCAR REANALYSIS; CIRCUMPOLAR WAVE; SEMIANNUAL OSCILLATION; SURFACE PRESSURE; INTERANNUAL VARIABILITY; TEMPORAL VARIABILITY; ECMWF ANALYSES</t>
  </si>
  <si>
    <t>The geography and latitude of the Antarctic Peninsula (AP) differ significantly from those of most of Antarctica, and hence it is not surprising that its weather and climate exhibit special characteristics. We present here modem aspects of the climate of the AP derived from a recently-released meteorological 're-analysis' data set which arguably presents the best meteorological representation of this part of the world. The Peninsula lies within the circumpolar pressure trough throughout the year and it is situated at the eastern end of a region of very frequent, intense cyclones. A trajectory analysis shows that, through the agency of these storms, the Peninsula is subject to a broad range of transport types and air masses. Attention is paid to the complex interaction between the atmospheric circulation and sea ice. We also discuss many of the large-scale influences on AP weather and climate. Included in these are the El Nino-Southern Oscillation, the semiannual oscillation, vacillations of the 'Antarctic mode', and the Antarctic circumpolar wave.</t>
  </si>
  <si>
    <t>Univ Melbourne, Sch Earth Sci, Melbourne, Vic 3010, Australia</t>
  </si>
  <si>
    <t>University of Melbourne; Melbourne Bioinformatics</t>
  </si>
  <si>
    <t>Univ Melbourne, Sch Earth Sci, Melbourne, Vic 3010, Australia.</t>
  </si>
  <si>
    <t>simmonds@unimelb.edu.au</t>
  </si>
  <si>
    <t>WOS:000224376000003</t>
  </si>
  <si>
    <t>van den Broeke, MR; van Lipzig, NPM</t>
  </si>
  <si>
    <t>Response of wintertime Antarctic temperatures to the antarctic oscillation: Results of a regional climate model</t>
  </si>
  <si>
    <t>SOUTHERN SEMIANNUAL OSCILLATION; ATMOSPHERIC BOUNDARY-LAYER; SEA-ICE EXTENT; CIRCULATION; PENINSULA; VARIABILITY; REANALYSIS; LATITUDES; CYCLE; SHELF</t>
  </si>
  <si>
    <t>We describe Antarctic wintertime (July 1980-1993) surface temperature changes in response to the Antarctic Oscillation (AAO), using output of a regional atmospheric climate model. During conditions of AAO positive polarity (strong large scale westerly circulation), the south Atlantic storm centre is displaced eastward which cuts off the atmospheric branch of the Weddell Gyre. This causes surface temperatures in the Weddell Sea and over the Antarctic Peninsula to rise by up to 8 K, which has important implications for the formation of sea ice and deep water in the Weddell Sea and the viability of the Antarctic Peninsula ice shelves. On the other hand, a cooling of up to 5 K occurs locally in East Antarctica in places where near-surface easterly winds have decreased over the perennial ice. This is due to reduced downward mixing of warm air in the stable boundary layer. An amplified temperature response is found over the flat ice shelves, where the damping effect of the katabatic wind-forcing on surface temperature changes is absent. This contributes up to 3 K to the surface warming of the Antarctic Peninsula ice shelves and up to 8 K cooling over the ice shelves of in western Dronning Maud Land.</t>
  </si>
  <si>
    <t>Inst Marine &amp; Atmospher Res Utrecht, NL-3508 TA Utrecht, Netherlands</t>
  </si>
  <si>
    <t>Utrecht University</t>
  </si>
  <si>
    <t>van den Broeke, MR (corresponding author), Inst Marine &amp; Atmospher Res Utrecht, POB 80005, NL-3508 TA Utrecht, Netherlands.</t>
  </si>
  <si>
    <t>Van den Broeke, Michiel R./F-7867-2011; van Lipzig, Nicole/ABF-2964-2021</t>
  </si>
  <si>
    <t>Van den Broeke, Michiel R./0000-0003-4662-7565; van Lipzig, Nicole/0000-0003-2899-4046</t>
  </si>
  <si>
    <t>WOS:000224376000004</t>
  </si>
  <si>
    <t>Morris, EM; Vaughan, DG</t>
  </si>
  <si>
    <t>Spatial and temporal variation of surface temperature on the Antarctic Peninsula and the limit of viability of ice shelves</t>
  </si>
  <si>
    <t>Mapping surface air temperature in the Antarctic Peninsula region is made unusually difficult by: the scarcity of meteorological stations, strong climatic gradients and recent rapid regional warming. We have compiled a database of 534 mean annual temperatures derived from measurements of snow temperature at around 10-m depth and air temperature measured at meteorological stations and automatic weather stations. These annual temperatures were corrected for interannual variability using a composite record from six stations across the region. The corrected temperatures were then analysed using multiple linear regression to yield altitudinal and temporal lapse rates. A subset of 508 values were then used to produce a map of temperature reduced to sea level and for a specific epoch (2000 A.D.). The map shows the dramatic climate contrast (3-5degreesC) between the east and west coast of the Antarctic Peninsula in greater detail than earlier studies and also indicates that the present limit of ice shelves closely follows the -9degreesC (2000 A.D.) isotherm. Furthermore, the limit of ice shelves known to have retreated during the last 100 years is bounded by the -9degreesC and -5degreesC (2000 A.D.) isotherms, suggesting that the retreat of ice shelves in the Antarctic Peninsula region is consistent with a warming of around similar to 4degreesC.</t>
  </si>
  <si>
    <t>Morris, EM (corresponding author), Univ Cambridge, Scott Polar Res Inst, Lansfield Rd, Cambridge CB2 1ER, England.</t>
  </si>
  <si>
    <t>Morris, Elizabeth M/A-6081-2012; Vaughan, David/C-8348-2011</t>
  </si>
  <si>
    <t>WOS:000224376000005</t>
  </si>
  <si>
    <t>Skvarca, P; De Angelis, H</t>
  </si>
  <si>
    <t>Impact assessment of regional climatic warming on glaciers and ice shelves of the northeastern Antarctic Peninsula</t>
  </si>
  <si>
    <t>RETREAT; DISINTEGRATION; COLLAPSE; FIELD</t>
  </si>
  <si>
    <t>The impact of regional climatic warming on grounded and floating ice masses in the northeastern Antarctic Peninsula is being assessed. Associated with the increasing atmospheric warming trend of the last two decades large thinning rates and negative mass balance were measured on a glacier with termini on land on Vega Island. Clear signals of glacier surface lowering were also detected on nearby James Ross Island, where monitoring of tidewater calving glaciers with sequential satellite imagery indicates an increasing rate of retreat during the last decade. However, the most striking evidence of climatic impact on ice masses is the abrupt disintegration of sections of the northern Larsen Ice Shelf that occurred in early 1995 and 2002, respectively, in coincidence with the two warmest summers recorded in the region. The final stage of these sudden and catastrophic events, a consequence of ice-shelf imbalance, has been triggered by a surplus of surficial meltwater, product of the warmest summers. From late 1975 to early 2002 the area of Larsen Ice Shelf north of Jason Peninsula has been reduced by 12,260 km(2), of which 76 percent was lost since the end of January 1995. The disintegration of these sections of the ice shelf has not only altered dramatically the geography of the northeastern Antarctic Peninsula but also triggered the retreat of former tributary glaciers beyond their grounding lines, an early warning of possible subsequent global sea level rise.</t>
  </si>
  <si>
    <t>Inst Antart Argnetino, Div Glaciol, Buenos Aires, DF, Argentina</t>
  </si>
  <si>
    <t>Instituto Antartico Argentino</t>
  </si>
  <si>
    <t>Skvarca, P (corresponding author), Inst Antart Argnetino, Div Glaciol, Cerrito 12478,C1010AAZ, Buenos Aires, DF, Argentina.</t>
  </si>
  <si>
    <t>hda@dna.gov.ar; pskvarca@dna.gov.ar</t>
  </si>
  <si>
    <t>De Angelis, Hernán/E-1352-2012; De Angelis, Hernán/AAD-9020-2019</t>
  </si>
  <si>
    <t>De Angelis, Hernán/0000-0002-8584-272X; De Angelis, Hernán/0000-0002-8584-272X</t>
  </si>
  <si>
    <t>WOS:000224376000006</t>
  </si>
  <si>
    <t>Scambos, T; Hulbe, C; Fahnestock, M</t>
  </si>
  <si>
    <t>Climate-induced ice shelf disintegration in the Antarctic Peninsula</t>
  </si>
  <si>
    <t>SOUTHERN-OCEAN; RETREAT; SHEET; VARIABILITY; DYNAMICS; VELOCITY; COLLAPSE; TRENDS; EXTENT; FIELD</t>
  </si>
  <si>
    <t>Climate warming in the Antarctic Peninsula has caused the disintegration of several ice shelves there. The rapid loss of 3320 km(2) from the northern Larsen B ice shelf in early 2002 typifies the pattern and pace of these events. Extended melt seasons leading to melt ponding on the shelf surfaces are the apparent cause of the breakups. Enhanced fracturing of pre-existing crevasses and shelf rifts driven by this meltwater occurs during warmer summers, leading to disintegration. Shelf breakups in the Peninsula over the last 20 years, coupled with geological evidence of their prior stability over the previous several millennia, imply that Peninsula climate is warmer now than at any time during this period. Stability of the remaining Peninsula shelves and other ice shelves can be assessed using remotely sensed indicators based on the presented model of ice shelf breakup. We find that, among 11 Antarctic ice shelves fringing the continent, only the currently retreating Larsen B, Wilkins, and George VI ice shelves, and the northernmost portions of the Larsen C shelf (northeast of the Alexander Peninsula) have the firn characteristics and melt season length we associate with impending breakup.</t>
  </si>
  <si>
    <t>Univ Colorado, CIRES, Natl Snow &amp; Ice Data Ctr, Boulder, CO 80309 USA</t>
  </si>
  <si>
    <t>University of Colorado System; University of Colorado Boulder</t>
  </si>
  <si>
    <t>Univ Colorado, CIRES, Natl Snow &amp; Ice Data Ctr, 1540 30th St, Boulder, CO 80309 USA.</t>
  </si>
  <si>
    <t>Hulbe, Christina/0000-0003-4765-7037</t>
  </si>
  <si>
    <t>WOS:000224376000007</t>
  </si>
  <si>
    <t>Hjort, C; Ingólfsson, O; Bentley, MJ; Björck, S</t>
  </si>
  <si>
    <t>The late pleistocene and holocene glacial and climate history of the Antarctic Peninsula region as documented by the land and lake sediment records -: A review</t>
  </si>
  <si>
    <t>SOUTH-SHETLAND-ISLANDS; KING-GEORGE-ISLAND; JAMES-ROSS-ISLAND; ICE-SHEET; WEDDELL SEA; LIVINGSTON-ISLAND; WEST ANTARCTICA; RETREAT; AREA; CHRONOLOGY</t>
  </si>
  <si>
    <t>Geomorphological and stratigraphical glacial- and climate history information from presently ice-free land areas in the Antarctic Peninsula region derive from glacially transported boulders, glacial striations, tills and moraine ridges, from raised beach-, littoral- and deeper marine sediments, and from lake sediments and moss-banks. Such sequences have been extensively 14C dated, providing a rather coherent chronology for the last c. 10 ka (14C kilo-years), with a less coherent pattern to 30 ka BP (before present) and beyond, complemented with occasional amino acid analyses and U/Th datings. These land data suggest that glaciation during the earlier part of the last (Wisconsinan/Weichselian) glacial cycle was more extensive than during the Last Global Glacial Maximum (LGM) around 18 ka BR The earlier glaciation(s) was followed by an interstadial, probably during marine oxygen isotope stage (MIS) 3, and thereafter by the LGM glaciation. Deglaciation after LGM began with lowering of the ice surface on the southwestern Antarctic Peninsula around 14.5 ka BP, and with ice-front retreat prior to 14 ka BP on the continental shelf west of the peninsula. The latter was probably a result of increased calving and grounding-line retreat, due to the Northern Hemisphere-induced eustatic global sea level rise. Well inside the present coastlines deglaciation rates slowed down, with the earliest coastal areas becoming ice-free c. 9 ka BP and many more around 7.5 ka BP, but some areas considerably later. A mid-Holocene period of glacial readvances culminated shortly after 5 ka BP. It was closely followed by the Holocene climatic optimum 4.5 - 2.5 ka BP, roughly coinciding with the solar insolation maximum for these latitudes. Neoglaciation started c. 2.5 ka BP and Little Ice Age advances during the last 750 years have been identified, particularly in the South Shetland Islands.</t>
  </si>
  <si>
    <t>Lund Univ, Dept Geol, SE-22363 Lund, Sweden</t>
  </si>
  <si>
    <t>Lund University</t>
  </si>
  <si>
    <t>Hjort, C (corresponding author), Lund Univ, Dept Geol, Tornavagen 13, SE-22363 Lund, Sweden.</t>
  </si>
  <si>
    <t>Bentley, Michael J/F-7386-2011</t>
  </si>
  <si>
    <t>Bentley, Michael J/0000-0002-2048-0019</t>
  </si>
  <si>
    <t>WOS:000224376000008</t>
  </si>
  <si>
    <t>Hall, BL</t>
  </si>
  <si>
    <t>An overview of late pleistocene glaciation in the South Shetland Islands</t>
  </si>
  <si>
    <t>KING-GEORGE-ISLAND; ANTARCTIC PENINSULA; LAST DEGLACIATION; LIVINGSTON-ISLAND; WEST ANTARCTICA; CLIMATE-CHANGE; MAXWELL BAY; ICE-SHEET; SEDIMENTATION; CIRCULATION</t>
  </si>
  <si>
    <t>During the last glacial maximum (LGM), ice caps in the South Shetland Islands expanded onto the continental shelf, possibly no more than a few kilometers beyond the present coastline. Sea level may have been an important factor in controlling ice extent. Widespread preservation of pre-LGM raised marine platforms and beaches suggests that most LGM ice was cold-based. Deglaciation began prior to similar to8500 C-14 yr B.P., although some areas may have remained ice-covered until mid-Holocene time.</t>
  </si>
  <si>
    <t>Univ Maine, Inst Quaternay &amp; Clin Studies, Bryand Global Sci Ctr 311, Orono, ME 04469 USA</t>
  </si>
  <si>
    <t>University of Maine System; University of Maine Orono</t>
  </si>
  <si>
    <t>Hall, BL (corresponding author), Univ Maine, Inst Quaternay &amp; Clin Studies, Bryand Global Sci Ctr 311, Orono, ME 04469 USA.</t>
  </si>
  <si>
    <t>WOS:000224376000009</t>
  </si>
  <si>
    <t>Mosley-Thompson, E; Thompson, LG</t>
  </si>
  <si>
    <t>Ice core paleoclimate histories from the Antarctic Peninsula: Where do we go from here?</t>
  </si>
  <si>
    <t>CLIMATE-CHANGE; ENVIRONMENTAL-CHANGE; DYER PLATEAU; TEMPERATURES; GREENLAND; ISOTOPE</t>
  </si>
  <si>
    <t>It is essential to determine whether the strong 20(th) century warming in the Antarctic Peninsula (AP) reflects, in part, a response to anthropogenically driven, globally averaged warming or if it is consistent with past climate variability in the region. The necessary time perspective may be reconstructed from chemical and physical properties preserved in the regional ice cover and ocean sediments. Only three multi-century climate histories derived from ice cores in the AP region have been annually dated with good precision ( 2 years per century). The longest record contains only 1200 years and the three histories do not provide a coherent picture of 20th century climate variability. The highest elevation core, Dyer Plateau, reveals a 20th century increase in accumulation and isotopic enrichment (warming) and indicates that the high ice plateau extending southward to the West Antarctic Ice Sheet is strategically situated to capture large-scale climate variability in the region. Such histories are critical to unraveling the role of various forcing mechanisms and discerning the leads and lags in the system. Ocean-atmosphere connections between Antarctica and the tropics have gained considerable attention as Antarctic Intermediate Water (AAIW) links conditions along the Antarctic margin with those in both the tropical Pacific and the North Atlantic. Current knowledge of past climate conditions in the Antarctic Peninsula is limited. High resolution proxy histories from ice cores drilled at carefully selected sites along the AP spine offer tremendous opportunities to examine past climate variability and place regional climate changes within a much broader geographical context.</t>
  </si>
  <si>
    <t>Ohio State Univ, Byrd Polar Res Ctr, Dept Geog, Columbus, OH 43210 USA</t>
  </si>
  <si>
    <t>University System of Ohio; Ohio State University</t>
  </si>
  <si>
    <t>Ohio State Univ, Byrd Polar Res Ctr, Dept Geog, 108 Scott Hall,1090 Carmack Rd, Columbus, OH 43210 USA.</t>
  </si>
  <si>
    <t>thompson.4@osu.edu; thompson.3@osu.edu</t>
  </si>
  <si>
    <t>Mosley-Thompson, Ellen S/Z-2100-2018</t>
  </si>
  <si>
    <t>WOS:000224376000010</t>
  </si>
  <si>
    <t>Smith, RC; Fraser, WR; Stammerjohn, SE; Vernet, M</t>
  </si>
  <si>
    <t>Palmer long-term ecological research on the antarctic marine ecosystem</t>
  </si>
  <si>
    <t>SEA-ICE EXTENT; SEMIANNUAL OSCILLATION; SOUTHERN-OSCILLATION; SURFACE-TEMPERATURE; CIRCUMPOLAR WAVE; AIR-TEMPERATURE; CLIMATE-CHANGE; WATERS WEST; VARIABILITY; PENINSULA</t>
  </si>
  <si>
    <t>Long-term studies in the western Antarctic Peninsula (WAP) region, which is the location of the Palmer LTER, provide the opportunity to observe how climate-driven variability in the physical environment is related to changes in the marine ecosystem. During the past 50 years the WAP region has experienced a statistically significant warming trend. Associated with this warming trend, during the last two decades, sea ice extent has trended down and the sea ice season has shortened. Ecosystem response to these trends is becoming evident at all trophic levels but is most clearly seen in a shift in population size and distribution of penguin species with different affinities to sea ice. Our results show that these trends in penguin populations are in accord with climate change predictions.</t>
  </si>
  <si>
    <t>Univ Calif Santa Barbara, ICESS, Santa Barbara, CA 93106 USA</t>
  </si>
  <si>
    <t>University of California System; University of California Santa Barbara</t>
  </si>
  <si>
    <t>Univ Calif Santa Barbara, ICESS, Santa Barbara, CA 93106 USA.</t>
  </si>
  <si>
    <t>STAMMERJOHN, SHARON/0000-0002-1697-8244</t>
  </si>
  <si>
    <t>WOS:000224376000011</t>
  </si>
  <si>
    <t>Convey, P</t>
  </si>
  <si>
    <t>Maritime Antarctic climate change: Signals from terrestrial biology</t>
  </si>
  <si>
    <t>UV-B RADIATION; EXPERIMENTAL TEMPERATURE ELEVATION; ULTRAVIOLET-RADIATION; LIFE-HISTORY; ENVIRONMENTAL-CHANGE; OZONE DEPLETION; SOUTH-GEORGIA; COLOBANTHUS-QUITENSIS; GLACIER FLUCTUATIONS; VASCULAR PLANTS</t>
  </si>
  <si>
    <t>The simplicity of maritime Antarctic terrestrial ecosystems, combined with rapid changes in several environmental variables, creates a natural laboratory probably unparalleled worldwide in which to study biological consequences of climate change. The Antarctic Peninsula and Scotia Arc provide a gradient from oceanic cool temperate to frigid continental desert conditions, giving a natural model of climate change predictions. Biota are limited by the twin environmental factors of low temperature and lack of water, while also facing changes in the timing of UV-B maxima, associated with the spring ozone hole. Biological changes consistent with predictions from climate amelioration are visible in the form of expansions in range and local population numbers amongst elements of the flora. Field manipulations demonstrate (i) potential for massive species and community responses to climate amelioration, (ii) the importance of existing soil propagule banks, and (iii) biochemical responses to changing radiation environments. Antarctic species possess considerable resistance/resilience and response flexibility to a range of environmental stresses. Wide environmental variability in Antarctic terrestrial habitats also means that predicted levels of change often fall well within the range already experienced. Thus, climate amelioration may generate positive responses from resident biota, at least while they remain protected through isolation from colonization by more effective competitors. Responses are likely to be subtle and multifactorial in origin, arising from changes in resource allocation and energy economics. The integration of subtle responses may lead to greater consequential impacts in communities and ecosystems.</t>
  </si>
  <si>
    <t>British Antarctic Survey, NERC, High Cross,Madingley Rd, Cambridge CB3 0ET, England.</t>
  </si>
  <si>
    <t>Convey, Peter/AAV-5728-2020</t>
  </si>
  <si>
    <t>Convey, Peter/0000-0001-8497-9903</t>
  </si>
  <si>
    <t>WOS:000224376000012</t>
  </si>
  <si>
    <t>Quayle, WC; Convey, P; Peck, LS; Ellis-Evans, CJ; Butler, HG; Peat, HJ</t>
  </si>
  <si>
    <t>Ecological responses of maritime Antarctic Lakes to regional climate change</t>
  </si>
  <si>
    <t>TEMPORAL PLANKTON DYNAMICS; SIGNY ISLAND; MICROBIAL COMMUNITY; PHYTOPLANKTON; TEMPERATURE; ICE; VARIABILITY; POPULATIONS; STREAMS; TRENDS</t>
  </si>
  <si>
    <t>Polar lakes act as key early detectors of global change effects. Duration and thickness of snow and ice cover determines albedo, underwater light availability, thermal and chemical regimes and mixing properties. However, quantitative data on responses by aquatic systems to regional-scale change remain scant. Here, by utilizing 48 year (1947-1995) air temperature and 33 year (1963-1996) lake environmental datasets obtained at Signy Island, South Orkney Islands, we report one of the fastest responses to regional climate change so far documented in the southern hemisphere. Between 1980-1995 lake water temperatures increased by 2-3 times the local air temperature rise. Autumn freeze and spring break up dates of lake ice have changed, extending the open water period by up to 4 weeks. Winter total extractable phytopigments, alkalinity and orthophosphate show 2- to 10-fold increases, all linked with an areal reduction of the island's ice cover of similar to 45% in total in the last 50 years. These results indicate that its geographical position allows Signy Island to be a sensitive indicator of rapid ecological change in Antarctic freshwater environments. Such rapid change will be widespread in polar regions if current global change predictions are correct.</t>
  </si>
  <si>
    <t>CSIRO, Land &amp; Water, Res Stn Rd, Griffith, NSW 2680, Australia.</t>
  </si>
  <si>
    <t>QUAYLE, WENDY C/Q-3719-2016; Convey, Peter/AAV-5728-2020; QUAYLE, Wendy/D-4634-2011; Peat, Helen J/E-9666-2015</t>
  </si>
  <si>
    <t>QUAYLE, WENDY C/0000-0003-0622-1915; Convey, Peter/0000-0001-8497-9903;</t>
  </si>
  <si>
    <t>WOS:000224376000013</t>
  </si>
  <si>
    <t>Emslie, SD; Ritchie, P; Lambert, D</t>
  </si>
  <si>
    <t>Late-holocene penguin occupation and diet at King George Island, Antarctic Peninsula</t>
  </si>
  <si>
    <t>CHINSTRAP PENGUINS; AGE CALIBRATION; CLIMATE-CHANGE; ADELIE; COLONIES; ROOKERY; RECORD; GENTOO; BAY</t>
  </si>
  <si>
    <t>Twelve abandoned and two active colonies of Adelie (Pygoscelis adeliae), Chinstrap (P antarctica), and Gentoo penguin (P papua) were excavated on King George Island, Antarctic Peninsula, in January/February 2002. Ancient DNA was extracted from nine samples of penguin bone from five abandoned colonies to verify species identifications. Thirty-six radiocarbon dates on penguin remains from these sites, including the first to be completed on P papua from an abandoned colony in Antarctica, indicate that these three penguin species began occupying this region 500 to 600 years ago, agreeing with similar trends found at other abandoned colonies in the northern Antarctic Peninsula. This colonization event corresponds with warming trends in the Antarctic Peninsula during the Little Ice Age (A.D. 1500-1850), based on previously published isotope records from the Siple Dome ice core. Non-krill dietary remains recovered from the ornithogenic sediments at the 12 abandoned colonies indicate a high diversity of cephalopod and fish prey. Guano samples from the two active colonies further indicate that Chinstrap and Adelie penguins differ in their non-krill diet with the former species preferring lantern fish (Electrona antarctica) and the latter Antarctic silverfish (Pleuragramma antarcticum).</t>
  </si>
  <si>
    <t>Univ N Carolina, Dept Biol Sci, Wilmington, NC 28403 USA</t>
  </si>
  <si>
    <t>University of North Carolina; University of North Carolina Wilmington</t>
  </si>
  <si>
    <t>Emslie, SD (corresponding author), Univ N Carolina, Dept Biol Sci, 601 S Coll Rd, Wilmington, NC 28403 USA.</t>
  </si>
  <si>
    <t>WOS:000224376000014</t>
  </si>
  <si>
    <t>Willmott, V; Canals, M; Casamor, JL</t>
  </si>
  <si>
    <t>Retreat history of the gerlache-boyd ice stream, Northern Antarctic Peninsula: An ultra-high resolution acoustic study of the deglacial and post-glacial sediment drape</t>
  </si>
  <si>
    <t>LAST GLACIAL MAXIMUM; SEA-FLOOR EVIDENCE; SHEET RETREAT; WEDDELL SEA; DEEP-SEA; SHELF; SYSTEM; LEVEL; LINEATIONS; GREENLAND</t>
  </si>
  <si>
    <t>During the Last Glacial Maximum a large bundle structure was deposited by an ice stream flowing from Gerlache Strait to Boyd Strait across the Western Bransfield Basin. Bundles are ice-bed contact till deposits whose surface consists of sets of convex-upward, elongated, parallel to subparallel ridges. Located in the northern Antarctic Peninsula, at water depths between 500 to 1200 in, the Western Bransfield Basin bundle is up to 100 km long and 14 to 21 km wide. Here, we present ultra-high resolution topographic parametric source (TOPAS) acoustic profiles to examine the thickness and acoustic facies variations of the deglacial and postglacial drape on top of the Western Bransfield Basin bundle. Acoustic facies analysis suggests that the sediment drape is composed of hemipelagic particles from a combination of ocean surface primary productivity and subglacial sediment-laden outflows from a retreating ice stream front. We hypothesize that the areas of thickest drape mark the earliest decoupling. Three segments are distinguished in the bundle drape: the central segment, the northern segment, and the southern segment. Drape is thickest in the central segment and thins to zero in the southern segment toward the entrance of the inner Gerlache Strait. On the basis of this observation, we infer that the ice-seabed decoupling started first in the thickest central segment, followed by the northern and southern segments, respectively. The development of an ice-free sea surface followed the same succession. Our study shows that ice stream retreat may be far from linear, and it is strongly controlled by seafloor and iceshed topography.</t>
  </si>
  <si>
    <t>Univ Barcelona, Dept Stratig Peleontol &amp; Marine Geosci, Barcelona, Spain</t>
  </si>
  <si>
    <t>University of Barcelona</t>
  </si>
  <si>
    <t>Willmott, V (corresponding author), Univ Barcelona, Dept Stratig Peleontol &amp; Marine Geosci, Barcelona, Spain.</t>
  </si>
  <si>
    <t>Willmott Puig, Veronica/AGN-3478-2022; Casamor, Jose Luis/J-5719-2017; Canals, Miquel/F-4922-2013</t>
  </si>
  <si>
    <t>Willmott Puig, Veronica/0000-0002-6552-8901; Casamor, Jose Luis/0000-0001-9445-6997; Canals, Miquel/0000-0001-5267-7601</t>
  </si>
  <si>
    <t>WOS:000224376000015</t>
  </si>
  <si>
    <t>Gilbert, R; Domack, EW; Camerlenghi, A</t>
  </si>
  <si>
    <t>Deglacial history of the Greenpeace trough: Ice sheet to ice shelf transition in the Northwestern Weddell Sea</t>
  </si>
  <si>
    <t>LAST GLACIAL MAXIMUM; NORTHERN ANTARCTIC PENINSULA; SUBSEQUENT RETREAT HISTORY; SUBGLACIAL MELTWATER; CONTINENTAL-SHELF; FLOOR EVIDENCE; MORPHOLOGY; COLLAPSE; FEATURES; EROSION</t>
  </si>
  <si>
    <t>SeaBeam bathymetry and backscatter data combined with core records from sediments from nearly 6000 km(2) of the former Larsen A Ice Shelf, eastern Antarctic Peninsula reveal the glacial and post-glacial evolution of landforms on the seafloor created by a former ice sheet and the subsequent ice shelf which disintegrated especially during the 1990s. A 500-m deep, coast-parallel trough 10 x 20 km in aerial extent was eroded by an ice stream flowing northeasterly then easterly across the continental shelf as a distributary from a larger ice stream to the south. Large-scale streamlined bed forms up to 800 in wide and 6 km long with orientation parallel to the long axis of the trough, many with surrounding horseshoe-shaped depressions attest to ice-contact processes and the action of subglacial meltwater. As the ice sheet thinned to become the partially floating and separated Larsen A and B ice shelves, its flow changed to a southwesterly direction across the shelf and large fields of smaller subglacial flutes, of mean width 44 m, height 2.2 in, and lengths of several hundred meters, were sculpted into the thin glacial sediments, crosscutting the large-scale forms. These were preserved as the ice shelf lifted from the seafloor and are covered by a thin sequence of glacimarine sediments representing both ice shelf and open sea conditions.</t>
  </si>
  <si>
    <t>Queens Univ, Dept Geog, Kingston, ON K7L 3N6, Canada</t>
  </si>
  <si>
    <t>Queens University - Canada</t>
  </si>
  <si>
    <t>Queens Univ, Dept Geog, Kingston, ON K7L 3N6, Canada.</t>
  </si>
  <si>
    <t>acamerlenghi@ogs.trieste.it; edomack@hamilton.edu; gilbert@lake.geog.queensu.ca</t>
  </si>
  <si>
    <t>Camerlenghi, Angelo/AAG-3852-2019; Camerlenghi, Angelo/O-1593-2013</t>
  </si>
  <si>
    <t>Camerlenghi, Angelo/0000-0002-8128-9533; Camerlenghi, Angelo/0000-0002-8128-9533</t>
  </si>
  <si>
    <t>WOS:000224376000016</t>
  </si>
  <si>
    <t>Domack, EW; Leventer, A; Root, S; Ring, J; Williams, E; Carlson, D; Hirshorn, E; Wright, W; Gilbert, R; Burr, G</t>
  </si>
  <si>
    <t>Marine sedimentary record of natural environmental variability and recent warming in the Antarctic Peninsula</t>
  </si>
  <si>
    <t>MULLER ICE SHELF; SEA-ICE; SOUTHERN-OCEAN; CLIMATE-CHANGE; TEMPERATURE; RETREAT; DIATOMS; PALEOCLIMATE; INCREASES; COLLAPSE</t>
  </si>
  <si>
    <t>Paleoenvironmental data from marine sediment cores collected along the westem side of the Antarctic Peninsula provide a reference for Holocene climate and oceanographic changes across a 400 km north south transect. Interpretations are based upon: preserved total organic carbon, diatom abundance/assemblages, particle size, ice rafted detritus, sedimentary structures, and physical properties including water content and magnetic susceptibility. Chronology is constrained by 38 new radiocarbon dates, Pb-210 activity profiles, and tidal laminations. We recognize four climate/oceanographic episodes consistent with climate intervals recognized from the Northern Hemisphere including the Middle Holocene optimum (similar to9.0 ka to 3.2 ka) and the Neoglacial (3.2 ka to modem). These two episodes are characterized by high to low rates of sediment accumulation and high to low total organic carbon preservation, respectively. We also delineate the Medieval Warm Period (1.15 ka to 0.7 ka) and the Little Ice Age (0.7 ka to similar to0.15 ka). Superimposed upon these intervals are 200-year oscillations in climate/oceanographic conditions that can be regionally correlated. High-resolution sites also record the last several decades of regional warming, the signal of which appears distinctive from the natural variability in climate/oceanographic conditions of the Neoglacial. Results support the synchronicity of climate change between the two hemispheres, a correlation that may be unique to the Antarctic Peninsula, and the impact of regional warming on marine deposystems. Despite decades of regional warming the rates and styles of glacial marine deposition are still not equivalent to characteristics of the environment recorded in the Middle Holocene climate optimum approximately 4.0 ka.</t>
  </si>
  <si>
    <t>edomack@hamilton.edu; aleventer@mail.colgate.edu; jring@hamilton.edu; gilbert@lake.geog.queensu.ca; burr@u.arizona.edu</t>
  </si>
  <si>
    <t>WOS:000224376000017</t>
  </si>
  <si>
    <t>Yoon, HI; Park, BK; Kim, Y; Kang, CY; Kang, SH</t>
  </si>
  <si>
    <t>Origins and paleoceanographic significance of layered diatom ooze interval from the Bransfield Strait in the northern Antarctic Peninsula around 2500 yrs bp</t>
  </si>
  <si>
    <t>WEDDELL-SCOTIA CONFLUENCE; RESTING SPORES; PARTICLE-FLUX; SEA; SEDIMENTATION; REGION; BLOOMS; ICE; FLOCCULATION; ASSEMBLAGES</t>
  </si>
  <si>
    <t>Diatom and pore water data from two piston cores from the central sub-basin and one from the western sub-basin of Bransfield Strait in the northern Antarctic Peninsula were used to elucidate the depositional mechanism of a layered diatom ooze unit observed in all three cores. The diatom ooze unit, formed by the alternation of diatom ooze layers and terrigenous layers, is enriched in organic carbon, biogenic silica, sulfide sulfur content and depleted in pore water sulfate concentration. This depletion of pore water sulfate in the diatom ooze interval is indicative of development of reducing micro-environment in which bacterially mediated sulfate reduction occurred. The negative relationship between the organic carbon and sulfate contents, however, indicates that sulfate reduction was taking place but does not control organic carbon preservation in the diatom ooze interval. Rather, the overwhelming dominance of intact Chaetoceros resting spores in the diatom ooze layer indicates rapid sedimentation of the diatom spores as a result of repetitive late summer blooms at the sea-ice margin on the Bransfield shelf at around 2500 yrs BP when persistent sea-ice margin might have existed on the shelf and/or shelf break. During the cold period, underflows were probably caused by cooling of the Bransfield shelf water, and these flows probably played an important role for concentrating the summer diatom blooms to produce the diatom ooze layer recorded in the sub-basins of the Bransfield Strait. Intervening terrigenous layers were mostly deposited during the winter and represent the input of reworked detrital clay by stronger bottom flows in non-bloom conditions under the sea ice.</t>
  </si>
  <si>
    <t>Korea Ocean Res &amp; Dev Inst, Polar Sci Lab, Seoul 425600, South Korea</t>
  </si>
  <si>
    <t>Korea Institute of Ocean Science &amp; Technology (KIOST)</t>
  </si>
  <si>
    <t>Yoon, HI (corresponding author), Korea Ocean Res &amp; Dev Inst, Polar Sci Lab, POB 29, Seoul 425600, South Korea.</t>
  </si>
  <si>
    <t>WOS:000224376000018</t>
  </si>
  <si>
    <t>Ishman, SE; Szymcek, P</t>
  </si>
  <si>
    <t>Foraminiferal distributions in the former larsen - A ice shelf and Prince Gustav Channel region, eastern Antarctic Peninsula margin: A baseline for holocene paleoenvironmental change</t>
  </si>
  <si>
    <t>BENTHIC FORAMINIFERA; WEDDELL SEA; COASTAL POLYNYAS; MCMURDO SOUND; DEEP; ECOLOGY; PHYTODETRITUS; ASSEMBLAGES; RETREAT; SEDIMENTS</t>
  </si>
  <si>
    <t>Foraminiferal analyses of surface sediment samples collected from the former Larsen-A lee Shelf (LIS-A) and Prince Gustav Channel (PGC) region of the eastern Antarctic Peninsula margin reveal distinct biofacies/benthic foraminiferal assemblage distributions. Three biofacies are identified representing the remnant LIS-A ice edge, Greenpeace Trough, and PGC/outer LIS-A regions. Calcareous dominated assemblages include the Angulogerina and Epistominella assemblages. Arenaceous dominated assemblages include the Miliammina and Portatrochammina assemblages. High planktonic foraminiferal productivity in the absence of high organic flux to the substrate characterizes conditions associated with the ice edge biofacies and Angulogerina assemblage. Higher organic carbon content with high planktonic foraminiferal productivity is associated with the trough biofacies/Epistominella assemblage. Dissolution modifies the foraminiferal assemblages associated with the PGC/outer LIS-A biofacies. The Miliammina assemblage contains very few calcareous foraminifera and occurs in organic-rich siliceous sediments. The Portatrochammina assemblage contains higher numbers of calcareous foraminifera than the Miliammina assemblage.</t>
  </si>
  <si>
    <t>So Illinois Univ, Dept Geol, Carbondale, IL 62901 USA</t>
  </si>
  <si>
    <t>Southern Illinois University System; Southern Illinois University</t>
  </si>
  <si>
    <t>So Illinois Univ, Dept Geol, MS 4324, Carbondale, IL 62901 USA.</t>
  </si>
  <si>
    <t>WOS:000224376000019</t>
  </si>
  <si>
    <t>J</t>
  </si>
  <si>
    <t>Jacobs, SS</t>
  </si>
  <si>
    <t>Plumbing the depths - the waters of the Ross Sea</t>
  </si>
  <si>
    <t>ANTARCTIC SCIENCE</t>
  </si>
  <si>
    <t>Editorial Material</t>
  </si>
  <si>
    <t>Columbia Univ, New York, NY 10027 USA</t>
  </si>
  <si>
    <t>Columbia University</t>
  </si>
  <si>
    <t>Jacobs, SS (corresponding author), Columbia Univ, New York, NY 10027 USA.</t>
  </si>
  <si>
    <t>CAMBRIDGE UNIV PRESS</t>
  </si>
  <si>
    <t>NEW YORK</t>
  </si>
  <si>
    <t>40 WEST 20TH ST, NEW YORK, NY 10011-4211 USA</t>
  </si>
  <si>
    <t>0954-1020</t>
  </si>
  <si>
    <t>ANTARCT SCI</t>
  </si>
  <si>
    <t>Antarct. Sci.</t>
  </si>
  <si>
    <t>JAN</t>
  </si>
  <si>
    <t>10.1017/S0954102003001172</t>
  </si>
  <si>
    <t>Environmental Sciences; Geography, Physical; Geosciences, Multidisciplinary</t>
  </si>
  <si>
    <t>Science Citation Index Expanded (SCI-EXPANDED)</t>
  </si>
  <si>
    <t>Environmental Sciences &amp; Ecology; Physical Geography; Geology</t>
  </si>
  <si>
    <t>658BL</t>
  </si>
  <si>
    <t>Bronze</t>
  </si>
  <si>
    <t>WOS:000181701700001</t>
  </si>
  <si>
    <t>Assmann, K; Hellmer, HH; Beckmann, A</t>
  </si>
  <si>
    <t>Seasonal variation in circulation and water mass distribution on the Ross Sea continental shelf</t>
  </si>
  <si>
    <t>Article; Proceedings Paper</t>
  </si>
  <si>
    <t>2nd International Conference on the Ross Sea</t>
  </si>
  <si>
    <t>OCT, 2001</t>
  </si>
  <si>
    <t>ISCHIA, ITALY</t>
  </si>
  <si>
    <t>Antarctica; ice shelf cavity; numerical model; seasonal cycle; thermohaline circulation</t>
  </si>
  <si>
    <t>ICE SHELF; SATELLITE-ALTIMETRY; ANTARCTICA; OCEAN; MODEL</t>
  </si>
  <si>
    <t>Changes in water mass distribution and horizontal circulation due to seasonal influences on the Ross Sea continental shelf are investigated using a circumpolar numerical model. An anticyclonic circulation cell that extends across the open shelf and into the ice shelf cavity is formed in the model. The increased east-west density gradient caused by the strong brine release in the Ross Sea polynya in winter results in an intensification of this anticyclonic cell from 1.5 Sv to 2.5 Sv. This supports the concept of a thermolialine-driven horizontal circulation on the Ross Sea continental shelf. In addition to a temporal change in the circulation strength, the changes in the density structure lead to complex temporal and spatial variability in the circulation around Ross Island. Due to seasonal variation in circulation strength and water temperatures, the area averaged basal melt rate of 25 cm a(-1) shows a bimodal seasonal cycle ranging from 20-28 cm a(-1), with maxima in March and August.</t>
  </si>
  <si>
    <t>Alfred Wegener Inst Polar &amp; Marine Res, D-27515 Bremerhaven, Germany</t>
  </si>
  <si>
    <t>Helmholtz Association; Alfred Wegener Institute, Helmholtz Centre for Polar &amp; Marine Research</t>
  </si>
  <si>
    <t>Assmann, K (corresponding author), Alfred Wegener Inst Polar &amp; Marine Res, Postfach 12 01 61, D-27515 Bremerhaven, Germany.</t>
  </si>
  <si>
    <t>kassmann@awi-bremerhaven.de</t>
  </si>
  <si>
    <t>Hellmer, Hartmut/0000-0002-9357-9853</t>
  </si>
  <si>
    <t>10.1017/S0954102003001007</t>
  </si>
  <si>
    <t>Conference Proceedings Citation Index - Science (CPCI-S); Science Citation Index Expanded (SCI-EXPANDED)</t>
  </si>
  <si>
    <t>Green Submitted</t>
  </si>
  <si>
    <t>WOS:000181701700002</t>
  </si>
  <si>
    <t>Holland, DM; Jacobs, SS; Jenkins, A</t>
  </si>
  <si>
    <t>Modelling the ocean circulation beneath the Ross Ice Shelf</t>
  </si>
  <si>
    <t>Antarctica; isopycnic ocean model; Ross Sea</t>
  </si>
  <si>
    <t>WATER MASS-DISTRIBUTION; ANTARCTIC GLACIER; WEST ANTARCTICA; FREEZING-POINT; WEDDELL SEA; RONNE; BALANCE; VARIABILITY; SEAWATER; RATES</t>
  </si>
  <si>
    <t>We applied a modified version of the Miami isopycnic coordinate ocean general circulation model (MICOM) to the ocean cavity beneath the Ross Ice Shelf to investigate the circulation of ocean waters in the sub-ice shelf cavity, along with the melting and freezing regimes at the base of the ice shelf. Model passive tracers are utilized to highlight the pathways of waters entering and exiting the cavity, and output is compared with data taken in the cavity and along the ice shelf front. High Salinity Shelf Water on the western Ross Sea continental shelf flows into the cavity along the sea floor and is transformed into Ice Shelf Water upon contact with the ice shelf base. Ice Shelf Water flows out of the cavity mainly around 1800, but also further east and on the western side of McMurdo Sound, as observed. Active ventilation of the region near the ice shelf front is forced by seasonal variations in the density structure of the water column to the north, driving rapid melting. Circulation in the more isolated interior is weaker, leading to melting at deeper ice and refreezing beneath shallower ice. Net melting over the whole ice shelf base is lower than other estimates, but is likely to increase as additional forcings are added to the model.</t>
  </si>
  <si>
    <t>NYU, Courant Inst Math Sci, New York, NY 10012 USA; Columbia Univ, Lamont Doherty Geol Observ, Palisades, NY 10964 USA; British Antarctic Survey, NERC, Cambridge CB3 0ET, England</t>
  </si>
  <si>
    <t>New York University; Columbia University; UK Research &amp; Innovation (UKRI); Natural Environment Research Council (NERC); NERC British Antarctic Survey</t>
  </si>
  <si>
    <t>Holland, DM (corresponding author), NYU, Courant Inst Math Sci, 251 Mercer St, New York, NY 10012 USA.</t>
  </si>
  <si>
    <t>holland@cims.nyu.edu</t>
  </si>
  <si>
    <t>Jenkins, Adrian/IUN-2406-2023</t>
  </si>
  <si>
    <t>Jenkins, Adrian/0000-0002-9117-0616</t>
  </si>
  <si>
    <t>32 AVENUE OF THE AMERICAS, NEW YORK, NY 10013-2473 USA</t>
  </si>
  <si>
    <t>10.1017/S0954102003001019</t>
  </si>
  <si>
    <t>Science Citation Index Expanded (SCI-EXPANDED); Conference Proceedings Citation Index - Science (CPCI-S)</t>
  </si>
  <si>
    <t>WOS:000181701700003</t>
  </si>
  <si>
    <t>Rubino, A; Budillon, G; Pierini, S; Spezie, G</t>
  </si>
  <si>
    <t>A model for the spreading and sinking of the Deep Ice Shelf Water in the Ross Sea</t>
  </si>
  <si>
    <t>Antarctica; dense water formation; oceanography; water mass transformations</t>
  </si>
  <si>
    <t>BENEATH; OCEAN</t>
  </si>
  <si>
    <t>Spreading and sinking of the Deep Ice Shelf Water (DISW) in the Ross Sea are analysed using in situ observations and the results of a nonlinear, reduced gravity, layered numerical model, which is able to simulate the motion of a bottom trapped current over realistic topography. The model is forced by prescribing thickness and density of the DISW layer at the southern model boundary as well as ambient density stratification above the DISW layer. This density structure is imposed using hydrographic data acquired by the Italian PNRA-CLIMA project. In the model water of the quiescent ambient ocean is allowed to entrain in the active deep layer due to a simple entrainment parameterization. The importance of forcing the model with a realistic ambient density is demonstrated by carrying out a numerical simulation using an idealized ambient density. In a more realistic simulation the path and the density structure of the DISW vein flowing over the Challenger Basin are obtained and are found to be in good agreement with data. It is found that entrainment, which is particularly active in regions of strong topographic variation, significantly influences the pattern followed by the DISW layer. The evolution of the DISW layer beyond the continental shelf, i.e., in a region where the paucity of experimental data does not allow for a detailed description of the deep ocean dynamics, is also investigated.</t>
  </si>
  <si>
    <t>Univ Hamburg, Inst Meereskunde, D-22529 Hamburg, Germany; Univ Ca Foscari, Dipartimento Sci Ambientali, I-30123 Venice, Italy; Univ Naples, Ist Neteorol &amp; Oceanog, I-80127 Naples, Italy</t>
  </si>
  <si>
    <t>University of Hamburg; Universita Ca Foscari Venezia; University of Naples Federico II</t>
  </si>
  <si>
    <t>Rubino, A (corresponding author), Univ Hamburg, Inst Meereskunde, Troplowitzstr 7, D-22529 Hamburg, Germany.</t>
  </si>
  <si>
    <t>rubino@ifm.uni-hamburg.de</t>
  </si>
  <si>
    <t>Rubino, Angelo/0000-0003-3857-4811</t>
  </si>
  <si>
    <t>10.1017/S0954102003001020</t>
  </si>
  <si>
    <t>WOS:000181701700004</t>
  </si>
  <si>
    <t>Padman, L; Erofeeva, S; Joughin, I</t>
  </si>
  <si>
    <t>Tides of the Ross Sea and Ross Ice Shelf cavity</t>
  </si>
  <si>
    <t>altimetry; data assimilation; ice shelves; inverse modelling; mixing; synthetic aperture radar</t>
  </si>
  <si>
    <t>SOUTHERN WEDDELL SEA; INTERNAL TIDES; OCEAN TIDES; MODEL; STRATIFICATION; INTERFEROMETRY; BAROCLINICITY; ANTARCTICA; FILCHNER; WATER</t>
  </si>
  <si>
    <t>Two new ocean tide models for the Ross Sea including the ocean cavity under the Ross Ice Shelf, are described. The optimum model for predicting ice shelf surface height variability is based on assimilation of gravimetry-derived tidal constituents from the Ross Ice Shelf. Synthetic aperture radar interferograms provide an independent test of model performance. The standard deviation of tide height variability is largest under the eastern ice shelf along the Shirase and Siple Coasts, where it can exceed 0.8 m. The maximum peak-to-peak tidal range in this region is similar to3 m. The best predictor for ocean tidal currents north of the ice front is a dynamics-based model that solves the depth-integrated shallow water equations with a linear representation of benthic friction rather than the more usual quadratic form. Tidal currents over the open Ross Sea are dominated by diurnal, topographically trapped vorticity waves. The strongest modelled currents exceed 1 m s(-1) at spring tide in a narrow band along the upper continental slope in the north-westem Ross Sea. Typical tidal currents in the central continental shelf area of the Ross Sea are 10-20 cm s(-1). Under the ice shelf the typical currents are similar to5 cm s(-1).</t>
  </si>
  <si>
    <t>Earth &amp; Space Res, Seattle, WA 98102 USA; Oregon State Univ, Coll Ocean &amp; Atmospher Sci, Corvallis, OR 97331 USA; Jet Prop Lab, Pasadena, CA 91109 USA</t>
  </si>
  <si>
    <t>Oregon State University; National Aeronautics &amp; Space Administration (NASA); NASA Jet Propulsion Laboratory (JPL)</t>
  </si>
  <si>
    <t>Padman, L (corresponding author), Earth &amp; Space Res, 3350 SW Cascade Ave, Corvallis, OR 97333 USA.</t>
  </si>
  <si>
    <t>padman@esr.org</t>
  </si>
  <si>
    <t>Joughin, Ian R/A-2998-2008; Joughin, Ian/AAR-7778-2021; Padman, Laurence/AAH-3808-2021</t>
  </si>
  <si>
    <t>Joughin, Ian R/0000-0001-6229-679X; Joughin, Ian/0000-0001-6229-679X; Erofeeva, Svetlana/0000-0002-4489-7505; Padman, Laurence/0000-0003-2010-642X</t>
  </si>
  <si>
    <t>10.1017/S0954102003001032</t>
  </si>
  <si>
    <t>WOS:000181701700005</t>
  </si>
  <si>
    <t>Robertson, R; Beckmann, A; Hellmer, H</t>
  </si>
  <si>
    <t>M2 tidal dynamics in the Ross Sea</t>
  </si>
  <si>
    <t>Antarctica; internal tides; polar; tides</t>
  </si>
  <si>
    <t>WEDDELL-SEA; INTERNAL TIDES; MODEL; BAROCLINICITY; OCEAN; SHELF</t>
  </si>
  <si>
    <t>In certain regions of the Southern Ocean, tidal energy is believed to foster the mixing of different water masses, which eventually contribute to the formation of deep and bottom waters. The Ross Sea is one of the major ventilation sites of the global ocean abyss and a region of sparse tidal observations. We investigated M-2 tidal dynamics in the Ross Sea using a three-dimensional sigma coordinate model, the Regional Ocean Model System (ROMS). Realistic topography and hydrography from existing observational data were used with a single tidal constituent, the semi-diurnal M-2. The model fields faithfully reproduced the major features of the tidal circulation and had reasonable agreement with ten existing tidal elevation observations and forty-two existing tidal current measurements. The differences were attributed primarily to topographic errors. Internal tides were generated at the continental shelf/slope break and other areas of steep topography. Strong vertical shears in the horizontal velocities occurred under and at the edges of the Ross Ice Shelf and along the continental shelf/slope break. Estimates of lead formation based on divergence of baroclinic velocities were significantly higher than those based on barotrophic velocities, reaching over 10% at the continental shelf/slope break.</t>
  </si>
  <si>
    <t>Robertson, R (corresponding author), Columbia Univ, Lamont Doherty Geol Observ, Palisades, NY 10964 USA.</t>
  </si>
  <si>
    <t>rroberts@ldeo.columbia.edu</t>
  </si>
  <si>
    <t>Robertson, Robin/T-5491-2019</t>
  </si>
  <si>
    <t>1365-2079</t>
  </si>
  <si>
    <t>10.1017/S0954102003001044</t>
  </si>
  <si>
    <t>WOS:000181701700006</t>
  </si>
  <si>
    <t>Tin, T; Jeffries, MO; Lensu, M; Tuhkuri, J</t>
  </si>
  <si>
    <t>Estimating the thickness of ridged sea ice from ship observations in the Ross Sea</t>
  </si>
  <si>
    <t>Antarctica; ASPeCt; pressure ridges; sea ice thickness distribution</t>
  </si>
  <si>
    <t>ARCTIC-BASIN; WEDDELL</t>
  </si>
  <si>
    <t>Ship-based observations of sea ice thickness using the Antarctic Sea Ice Processes and Climate (ASPeCt) protocol provide information on ice thickness distribution at relatively low cost. This protocol uses a simple formula to calculate the mass of ice in ridges based on surface observations. We present two new formulae and compare these with results from the Original formula using data obtained in the Ross Sea in autumn and winter, The new r-star formula uses a more realistic ratio of sail and keel areas to transform dimensions of sails to estimates of mean keel areas. As a result, estimates of equivalent thickness (i.e. mean thickness of ice in ridged areas) increased by over 200%. The new Probability formula goes one step further, by incorporating the probability that a sail is associated with a keel underwater, and the probability that keels may be found under level surfaces. This resulted in estimates of equivalent thickness comparable with the Original formula. Estimates of equivalent thickness at one or two degree latitude resolution are sufficiently accurate for validating sea ice models. Although ridges are small features in the Ross Sea, we have shown that they constitute a significant fraction of the total ice mass.</t>
  </si>
  <si>
    <t>Univ Alaska Fairbanks, Inst Geophys, Fairbanks, AK 99775 USA; Helsinki Univ Technol, Ship Lab, FIN-02015 Espoo, Finland; Helsinki Univ Technol, Lab Mech Mat, FIN-02015 Espoo, Finland</t>
  </si>
  <si>
    <t>University of Alaska System; University of Alaska Fairbanks; Aalto University; Aalto University</t>
  </si>
  <si>
    <t>Tin, T (corresponding author), Univ Alaska Fairbanks, Inst Geophys, 903 Koyukuk Dr, Fairbanks, AK 99775 USA.</t>
  </si>
  <si>
    <t>tina.tin@gi.alaska.edu</t>
  </si>
  <si>
    <t>Tuhkuri, Jukka/E-6913-2012</t>
  </si>
  <si>
    <t>Tuhkuri, Jukka/0000-0003-4837-352X</t>
  </si>
  <si>
    <t>10.1017/S0954102003001056</t>
  </si>
  <si>
    <t>WOS:000181701700007</t>
  </si>
  <si>
    <t>Flocco, D; Falco, P; Wadhams, P; Spezie, G</t>
  </si>
  <si>
    <t>Surface current measurements in Terra Nova Bay by HF radar</t>
  </si>
  <si>
    <t>Antarctica; OSCR-II; polynya; Ross Sea; surface circulation</t>
  </si>
  <si>
    <t>ROSS-SEA; COASTAL POLYNYAS; ICE; ANTARCTICA</t>
  </si>
  <si>
    <t>During summer (2 December 1999-23 January 2000) an Ocean Surface Current Radar (OSCR-II) was used to provide surface current measurements within the Terra Nova Bay polynya, one of the most important coastal polynyas of the Ross Sea. This represents an important step towards a continuous monitoring of the area. Useful information is now available as a basis for future work in this field, although the two radar sites, necessary to calculate the total current vector, did not work together throughout the whole period of the experiment as one of the units was damaged. The results demonstrate the feasibility of this kind of measurement and suggest that very important dynamical characteristics of the polynya could be deduced from long term deployment of such a system.</t>
  </si>
  <si>
    <t>Univ Cambridge, Scott Polar Res Inst, Cambridge CB2 1ER, England; Univ Naples Parthenope, I-80133 Naples, Italy</t>
  </si>
  <si>
    <t>University of Cambridge; Parthenope University Naples</t>
  </si>
  <si>
    <t>Flocco, D (corresponding author), Univ Cambridge, Scott Polar Res Inst, Lensfield Rd, Cambridge CB2 1ER, England.</t>
  </si>
  <si>
    <t>Df217@hermes.cam.ac.uk</t>
  </si>
  <si>
    <t>Flocco, Daniela/ISA-8644-2023</t>
  </si>
  <si>
    <t>Flocco, Daniela/0000-0002-0025-5359; Falco, Pierpaolo/0000-0002-5130-5440</t>
  </si>
  <si>
    <t>10.1017/S0954102003001147</t>
  </si>
  <si>
    <t>WOS:000181701700008</t>
  </si>
  <si>
    <t>De Marinis, E; Picco, P; Meloni, R</t>
  </si>
  <si>
    <t>Monitoring polynyas with Ocean Acoustic Tomography: a feasibility study in Terra Nova Bay</t>
  </si>
  <si>
    <t>Antarctica; onon-linear inversion; seasonal variability; sound speed propagation</t>
  </si>
  <si>
    <t>GREENLAND SEA; INVERSION</t>
  </si>
  <si>
    <t>This study looks at the feasibility of using Ocean Acoustic Tomography for long-term monitoring of polynyas using both observations in Terra Nova Bay polynya (Ross Sea) and simulations with a range dependent, multi-layered adiabatic normal mode acoustic propagation model. The summer sound speed profile is characterized by surface values of around 1450 m s(-1), a minimum of 1441 m s(-1) around 50 m depth and a linear increase with a 0.016 s(-1) slope. Thus, the sound propagation is apparently ducted in the near surface layer and is refracted upward below it. During winter, due to water cooling and mixing processes, the subsurface minimum disappears, the surface sound speed is about 1440 m s(-1) and no near surface layer ducted propagation occurs. Because of the specificity of the Terra Nova Bay seasonal sound speed profile ;and to cope with both deep and shelf water applicability, the feasibility study of acoustic inversion was undertaken using normal mode Match Field Tomography instead of the more classical travel-time inversion. The results from simulations demonstrate that ocean acoustic tomography is able to reproduce quite well the vertical sound speed profile, in particular the temporal evolution of summer stratification and winter mixing processes, thus providing information on the upper layer, where direct measurements are not possible.</t>
  </si>
  <si>
    <t>DUNE, I-00183 Rome, Italy; ENEA, CRAM, I-19100 La Spezia, Italy; CNR IOF Pozzuolo Lerici, La Spezia, Italy</t>
  </si>
  <si>
    <t>Italian National Agency New Technical Energy &amp; Sustainable Economics Development</t>
  </si>
  <si>
    <t>De Marinis, E (corresponding author), DUNE, Via Tracia 4, I-00183 Rome, Italy.</t>
  </si>
  <si>
    <t>demarinis@dune-sistemi.com</t>
  </si>
  <si>
    <t>10.1017/s0954102003001068</t>
  </si>
  <si>
    <t>WOS:000181701700009</t>
  </si>
  <si>
    <t>Barbini, R; Colao, F; Fantoni, R; Fiorani, L; Palucci, A; Artamonov, ES; Galli, M</t>
  </si>
  <si>
    <t>Remotely sensed primary production in the western Ross Sea:: results of in situ tuned models</t>
  </si>
  <si>
    <t>Antarctica; lidar fluorosensor; oceanography; phytoplankton; satellite radiometer</t>
  </si>
  <si>
    <t>SOUTHERN-OCEAN; PHYTOPLANKTON PRODUCTION; SATELLITE; SEAWIFS; WATERS; SYSTEM; IMAGERY; CARBON; BLOOM</t>
  </si>
  <si>
    <t>The Southern Ocean plays an important role in the global carbon cycle and, as a consequence, in the planetary climate equilibrium. The Ross Sea is one of the more productive regions in the Southern Ocean, due to strong phytoplankton blooms occurring during summer. Satellite remote sensing is a powerful tool for investigating such phenomena, especially if the bio-optical algorithms are tuned with in situ data. In this paper, after having compared the Sea-viewing Wide Field-of-view Sensor (SeaWiFS) and the ENEA Lidar Fluorosensor (ELF), the SeaWiFS chlorophyll a (Chl a) algorithm is tuned in the Ross Sea by means of the ELF measurements. The Chl a concentrations obtained in this way have been the basis for estimating productivity values and their evolution during summer 1997-98. Three primary production models have been used, providing information on their accuracy and performance in the Antarctic environment. Our investigations suggest that the primary production was lower than usual during the period 3 December 1997-16 January 1998.</t>
  </si>
  <si>
    <t>ENEA, I-00044 Frascati, Italy; SB RAS, Inst Atmospher Opt, Tomsk 634055, Russia</t>
  </si>
  <si>
    <t>Italian National Agency New Technical Energy &amp; Sustainable Economics Development; Zuev Institute of Atmospheric Optics, Siberian Branch of the Russian Academy of Sciences; Russian Academy of Sciences</t>
  </si>
  <si>
    <t>Palucci, A (corresponding author), ENEA, Via Fermi 45, I-00044 Frascati, Italy.</t>
  </si>
  <si>
    <t>Fiorani, Luca/AAT-8943-2021</t>
  </si>
  <si>
    <t>Fiorani, Luca/0000-0001-9696-3124; PALUCCI, ANTONIO/0009-0006-9442-1544</t>
  </si>
  <si>
    <t>10.1017/S095410200300107X</t>
  </si>
  <si>
    <t>WOS:000181701700010</t>
  </si>
  <si>
    <t>Monticelli, LS; La Ferla, R; Maimone, G</t>
  </si>
  <si>
    <t>Dynamics of bacterioplankton activities after a summer phytoplankton bloom period in Terra Nova Bay</t>
  </si>
  <si>
    <t>Antarctic; bacterial biomass; bacterial production; ectoenzymatic activities; Ross Sea</t>
  </si>
  <si>
    <t>ROSS SEA; COASTAL WATERS; MARINE BACTERIOPLANKTON; MICROBIAL RESPIRATION; BACTERIAL PRODUCTION; GROWTH EFFICIENCY; MOLECULAR-WEIGHT; EAST ANTARCTICA; CARBON; OCEAN</t>
  </si>
  <si>
    <t>A late summer study of marine bacteria activities, and the interrelationships with the microbial loop and the microbial food chain was carried out from 22 January to 10 February 2000 in a coastal area of Terra Nova Bay (Ross Sea). The objective was to investigate the transition from the end of a phytoplanktonic bloom to the start of winter. Intense bacterial activities, comparable to those of temperate marine environments, were observed. The carbon potentially mobilized from proteinaceous matter was quantitatively the most important source of carbon for the bacterioplankton. The leucine aminopeptidase activity was higher in January samples and decreased towards 10 February whereas an opposite trend was observed for alkaline phosphatase and beta-glucosidase activities. The bacterial production was supported by c. 0.2% of the amounts of dissolved organic carbon mobilised by hydrolytic activities and by 7% of inorganic phosphate mobilised by alkaline phosphatase activity. A sharp reduction in the bacterial biomass, possibly due to zooplankton grazing or viral lysis, was observed for the first time in Terra Nova Bay.</t>
  </si>
  <si>
    <t>Ist Sperimentale Talassograf, IAMC Grp, CNR, I-98122 Messina, Italy</t>
  </si>
  <si>
    <t>Consiglio Nazionale delle Ricerche (CNR); L'Istituto per l'Ambiente Marino Costiero (IAMC-CNR)</t>
  </si>
  <si>
    <t>Monticelli, LS (corresponding author), Ist Sperimentale Talassograf, IAMC Grp, CNR, Spianata S Raineri 86, I-98122 Messina, Italy.</t>
  </si>
  <si>
    <t>monticelli@ist.me.cnr.it</t>
  </si>
  <si>
    <t>la ferla, rosabruna/0000-0003-1029-7349</t>
  </si>
  <si>
    <t>10.1017/S0954102003001081</t>
  </si>
  <si>
    <t>WOS:000181701700011</t>
  </si>
  <si>
    <t>Corsolini, S; Ademollo, N; Romeo, T; Olmastroni, S; Focardi, S</t>
  </si>
  <si>
    <t>Persistent organic pollutants in some species of a Ross Sea pelagic trophic web</t>
  </si>
  <si>
    <t>Adelie penguin; Antarctica; krill; PCBs; silverfish; penguin feeding ecology; TEQs</t>
  </si>
  <si>
    <t>POLYCHLORINATED-BIPHENYLS PCBS; DIBENZO-P-DIOXINS; ORGANOCHLORINE PESTICIDES; ADELIE PENGUIN; COPLANAR PCBS; SAMPLES; RESIDUES; SEABIRDS; YUSHO; PCDFS</t>
  </si>
  <si>
    <t>Adelie penguin (Pygoscelis adeliae) stomach contents, krill (Euphausia superba and E. crystallorophias) and silverfish (Pleuragramma antarcticum) from the Ross Sea were analysed to determine several persistent organic pollutants (POPs). In discussing the data, the prey-predator linkage between these species was taken into account. Sampling was carried out during the 1995/96 and 1999/00 Italian Antarctic Expeditions. Fifty four polychlorobiphenyls (PCBs) and p,p'-DDE and hexachlorobenzene (HCB) were quantified in stomach contents of penguins nesting at Edmonson Point (Victoria Land) and in whole specimens of silverfish and krill from the Ross Sea. Xenobiotic concentrations in organisms were low compared to data reported for many marine species of lower latitudes and ranged from 0.22 ng g(-1) wet wt p,p'-DDE in krill to 161 ng g(-1) wet wt PCBs in silverfish. Fingerprints and class of isomer patterns showed a predominance of low chlorinated PCBs, mainly in pelagic organisms. Average input of these POPs through the diet was also evaluated. Concentrations of the most toxic non-ortho PCBs, IUPAC nos 77 (3,3',4,4'), 126 (3,3',4,4',5) and 169 (3,3',4,4',5,5'), were 1.63 pg g(-1), 7.31 pg g(-1) and 0.23 pg g(-1) wet wt, respectively, in stomach content samples. Stomach contents had 0.037 pg g(-1) wet wt TEQ (Toxic Equivalents) of which penta-CB 126 accounted for most of the toxicity.</t>
  </si>
  <si>
    <t>ademollo, nicoletta/AAY-4811-2020; Romeo, Teresa/AAA-1711-2020; Corsolini, Simonetta/B-9460-2012; OLMASTRONI, Silvia/G-6267-2018</t>
  </si>
  <si>
    <t>Corsolini, Simonetta/0000-0002-9772-2362; Ademollo, nicoletta/0000-0002-1875-6530; Romeo, Teresa/0000-0001-8515-1964; OLMASTRONI, Silvia/0000-0002-9319-9914</t>
  </si>
  <si>
    <t>10.1017/S0954102003001093</t>
  </si>
  <si>
    <t>WOS:000181701700012</t>
  </si>
  <si>
    <t>Budillon, G; Pacciaroni, M; Cozzi, S; Rivaro, P; Catalano, G; Ianni, C; Cantoni, C</t>
  </si>
  <si>
    <t>An optimum multiparameter mixing analysis of the shelf waters in the Ross Sea</t>
  </si>
  <si>
    <t>Antarctic; circulation; continental shelf; OMP; water masses</t>
  </si>
  <si>
    <t>MASS STRUCTURE; BOTTOM WATER; ICE SHELF; PHYTOPLANKTON; DYNAMICS; OCEAN; VARIABILITY; ANTARCTICA; BENEATH; SUMMER</t>
  </si>
  <si>
    <t>The analysis of the mixing processes involving water masses on the Ross Sea continental shelf is one of the goals of the CLIMA project (Climatic Long-term Interactions for the Mass balance in Antarctica). This paper uses extended Optimum MultiParameter analysis (OMP), which is applied to four datasets collected during the cruises of 1994/95, 1995/96, 1997/98 and 2000/01 in the Ross Sea (Antarctica). Data include both hydrological, (temperature, salinity, and pressure; T, S, and P, respectively) and chemical parameters (O-2, Si(OH)(4), PO4, and NO3 +NO2). The OMP analysis is based on the assumption that the mixing is a linear process which affects all parameters equally so that each sample shows physical/chemical properties that are the result of the mixing of some properly selected Source Water Types (SWTs). OMP thus evaluates the best set of contributions by all SWTs to each sample, and allows the spatial distribution and structure of the water masses in a basin to be evaluated. Ocean circulation may subsequently be inferred by means of a deeper analysis of the spreading of the water mass. In this study, the real Redfield ratios observed in the Ross Sea were used to correct the equations referring to the chemical parameters in accordance with the extended version of OMP. The solutions include some physically realistic constraints. The results allow a detailed description of the water mass distribution, validated through comparison with some canonical thermohaline characteristics of the Ross Sea hydrology. In particular our results verify the spreading of the HSSW over the entire continental shelf and emphasize the key role it plays in the ventilation of the deep waters outside the Ross Sea. In addition a description is given of the intrusion of relatively warm waters coming from the open ocean and flowing at some specific locations at the continental shelf break.</t>
  </si>
  <si>
    <t>Univ Napoli Parthenope, Ist Meteorol &amp; Oceanog, I-80133 Naples, Italy; CNR, Ist Sperimentale Talassog, I-34123 Trieste, Italy; Univ Genoa, Dipartimento Chim &amp; Chim Ind, I-16146 Genoa, Italy</t>
  </si>
  <si>
    <t>Parthenope University Naples; Consiglio Nazionale delle Ricerche (CNR); University of Genoa</t>
  </si>
  <si>
    <t>Univ Napoli Parthenope, Ist Meteorol &amp; Oceanog, Via De Gasperi 5, I-80133 Naples, Italy.</t>
  </si>
  <si>
    <t>giorgio.budillon@uninav.it</t>
  </si>
  <si>
    <t>Cantoni, Carolina/Q-2294-2018; Cozzi, Stefano/G-1511-2011; Rivaro, Paola/I-8305-2012</t>
  </si>
  <si>
    <t>Cozzi, Stefano/0000-0003-0116-742X; Cantoni, Carolina/0000-0002-3253-1768</t>
  </si>
  <si>
    <t>10.1017/S095410200300110X</t>
  </si>
  <si>
    <t>WOS:000181701700013</t>
  </si>
  <si>
    <t>Accornero, A; Manno, C; Arrigo, KR; Martini, A; Tucci, S</t>
  </si>
  <si>
    <t>The vertical flux of particulate matter in the polynya of Terra Nova Bay. Part I. Chemical constituents</t>
  </si>
  <si>
    <t>Antarctica; biogenic fluxes; moored sediment traps; western Ross Sea</t>
  </si>
  <si>
    <t>ROSS SEA ANTARCTICA; SOUTHERN-OCEAN; ORGANIC-CARBON; SEDIMENT TRAP; BIOGENIC SILICA; WATER-COLUMN; PHYTOPLANKTON BIOMASS; CONTINENTAL-SHELF; FIELD ASSESSMENT; FECAL PELLETS</t>
  </si>
  <si>
    <t>Downward fluxes of particulate matter were investigated in the polynya of Terra Nova Bay (western Ross Sea) from February 1995 to December 1997. Biogenic silica made up the bulk of the sinking matter, reaching a maximum of 85% of the total flux in both the shallow and deep traps. Organic carbon accounted for 2.1 to 23.5% of the sample mass in the shallow trap and 2.8 to 7.2% in the deep trap. Biogenic silica and organic carbon peaks occurred in February-March over the three years and were always coupled in the top trap. Carbonate fluxes showed an uneven temporal trend, were low near the seafloor and contributed up to 69.8% of the material collected by the shallow trap. Vertical fluxes in the polynya showed large seasonal and interannual variability. Differences in primary productivity, ice cover dynamics and current energies accounted for the interannual changes in the flux of materials to the subsurface trap. Advection from sites a few hundred kilometres apart was the most likely reason for the decoupling between shallow and deep fluxes after October 1996. The seasonal pattern of downward fluxes was essentially linked to the seasonal cycle of primary production and spring-summer variations largely resulted from the composition of the phytoplankton assemblage in the overlying water column. The export of phototrophically produced materials to depth was low in late spring-early summer, at the time when Phaeocystis and small flagellates were the predominant autotrophs and the microbial food web prevailed over herbivorous feeding. Enhanced fluxes were linked to the predominance of large diatoms above the trap, in late summer. Temporal dynamics in this polynya were delayed by approximately one month as compared to the southernmost Ross Sea polynya, but showed the same temporal pattern: the time lag between production and accumulation of biogenic materials in the upper water column was a few weeks, while the delay in export from the surface layer relative to the maximum accumulation of biomass was approximately one month.</t>
  </si>
  <si>
    <t>Univ Napoli Parthenope, Ist Meteorol &amp; Oceanog, I-80133 Naples, Italy; Stanford Univ, Dept Geophys, Stanford, CA 94305 USA; Univ Genoa, Dipartimento Studio Terr &amp; Risorse, I-16132 Genoa, Italy</t>
  </si>
  <si>
    <t>Parthenope University Naples; Stanford University; University of Genoa</t>
  </si>
  <si>
    <t>Accornero, A (corresponding author), Univ Napoli Parthenope, Ist Meteorol &amp; Oceanog, Via A De Gasperi 5, I-80133 Naples, Italy.</t>
  </si>
  <si>
    <t>accornero@uninav.it</t>
  </si>
  <si>
    <t>Arrigo, Kevin/0000-0002-7364-876X</t>
  </si>
  <si>
    <t>10.1017/S0954102003001111</t>
  </si>
  <si>
    <t>WOS:000181701700014</t>
  </si>
  <si>
    <t>Frignani, M; Giglio, F; Accornero, A; Langone, L; Ravaioli, M</t>
  </si>
  <si>
    <t>Sediment characteristics at selected sites of the Ross Sea continental shelf: does the sedimentary record reflect water column fluxes?</t>
  </si>
  <si>
    <t>Antarctica; biogeochemical fluxes; sediment traps; sediment accumulation rates</t>
  </si>
  <si>
    <t>TERRA-NOVA BAY; BIOGENIC-SILICA; PHYTOPLANKTON BIOMASS; PRIMARY PRODUCTIVITY; PARTICULATE MATTER; SOUTHERN-OCEAN; VERTICAL FLUX; ANTARCTICA; ACCUMULATION; DYNAMICS</t>
  </si>
  <si>
    <t>Flux data from moored sediment trap experiments and mass accumulation rates in sediments were obtained for three sites in the Ross Sea which are currently studied for the formation and transit of High Salinity Shelf Water and Ice Shelf Water. These two data sets were compared to obtain inferences on the coupling between water column processes and sedimentary records. The depth distribution of physical features and concentrations of organic carbon and biogenic silica in box cores and gravity cores were studied. Mass accumulation rates, established on the basis of two conventional IT dates for each core, range between 7.64 and 19.46 g m(-2) yr(-1). Although these are productive areas, downward fluxes measured by sediment traps are low: 7.5-25.6, 2.4-17.9 and 0.5-0.9 g m(-2) yr(-1) for particles, biogenic silica and organic carbon, respectively. The concentrations of biogenic components in surficial sediments are correspondingly low. Simple mass balances were calculated assuming the conservative behaviour of the lithic fraction of sinking materials and sediment. Lateral advection of suspended particles is needed to balance the fluxes at the three sites. Furthermore, the model suggests that the preservation of biogenic components is lower than at other sites of the Ross Sea, probably due to the low accumulation rates that imply a high residence time of biogenic materials at the sediment-water interface.</t>
  </si>
  <si>
    <t>CNR, Ist Geol Marina, I-40129 Bologna, Italy; Univ Parthenope, Ist Meteorol &amp; Oceanog, I-80133 Naples, Italy</t>
  </si>
  <si>
    <t>Consiglio Nazionale delle Ricerche (CNR); Istituto di Scienze Marine (ISMAR-CNR); Parthenope University Naples</t>
  </si>
  <si>
    <t>CNR, Ist Geol Marina, Via Gobetti 101, I-40129 Bologna, Italy.</t>
  </si>
  <si>
    <t>frignani@igm.bo.cnr.it</t>
  </si>
  <si>
    <t>, leonardo.langone@ismar.cnr.it/D-8139-2011; Ravaioli, Mariangela/B-7589-2015</t>
  </si>
  <si>
    <t>Ravaioli, Mariangela/0000-0001-6858-8013</t>
  </si>
  <si>
    <t>10.1017/S0954102003001123</t>
  </si>
  <si>
    <t>WOS:000181701700015</t>
  </si>
  <si>
    <t>Budillon, G; Rintoul, SR</t>
  </si>
  <si>
    <t>Fronts and upper ocean thermal variability south of New Zealand</t>
  </si>
  <si>
    <t>Antarctic Circumpolar Current; Southern Ocean; Sub-Antactic Front; XBT</t>
  </si>
  <si>
    <t>ANTARCTIC CIRCUMPOLAR CURRENT; DRAKE PASSAGE; INDIAN-OCEAN; WATER MASSES; CIRCULATION; TASMANIA; TRANSPORT; PACIFIC; SECTION</t>
  </si>
  <si>
    <t>The structure and variability of Southern Ocean fronts south of New Zealand are described based on fifteen summer expendable bathythermograph (XBT) sections obtained between 1994 and 2001. The temperature variability north of 60degreesS is dominated by meanders and meridional shifts of the Sub-Antarctic Front (SAF), which often bifurcates to form northern and southern branches. The northern branch follows the southern edge of the Campbell Plateau, while the southern branch is found over the abyssal plain of the south-west Pacific Basin. The northern and southern branches of the SAF can be separated by as much as 900 km. Intense eddies or meanders of the SAF displace isotherms by as much as 5 degrees of latitude from their positions when such features are absent. The Polar Front (PF) position is more stable in time, although cold-core features associated with eddies or meanders of the front are occasionally observed between the southern SAF and the PF. The position of the southern ACC front is extremely stable, consistently overlying the 3000 m isobath on the northern flank of the Pacific-Antarctic/south-east Indian Ridge.</t>
  </si>
  <si>
    <t>Univ Napoli Parthenope, Ist Meteorol &amp; Oceanog, I-80127 Naples, Italy; CSIRO, Marine Res &amp; Antarctic CRC, Hobart, Tas 7001, Australia</t>
  </si>
  <si>
    <t>Parthenope University Naples; Commonwealth Scientific &amp; Industrial Research Organisation (CSIRO)</t>
  </si>
  <si>
    <t>Budillon, G (corresponding author), Univ Napoli Parthenope, Ist Meteorol &amp; Oceanog, Via De Gasperi 5, I-80127 Naples, Italy.</t>
  </si>
  <si>
    <t>Rintoul, Stephen R/A-1471-2012</t>
  </si>
  <si>
    <t>Rintoul, Stephen R/0000-0002-7055-9876</t>
  </si>
  <si>
    <t>10.1017/S0954102003001135</t>
  </si>
  <si>
    <t>WOS:000181701700016</t>
  </si>
  <si>
    <t>McPhee, MG</t>
  </si>
  <si>
    <t>Is thermobaricity a major factor in Southern Ocean ventilation?</t>
  </si>
  <si>
    <t>air-sea-ice interaction; deep convection; deep water formation; ocean mixing; Weddell Polynya</t>
  </si>
  <si>
    <t>DEEP CONVECTION; ICE INTERACTION; MAUD-RISE; SEA; WINTER; WATER; LAYER; ZONE; FLUX</t>
  </si>
  <si>
    <t>The Weddell Polynya, a large expanse of water that originated over Maud Rise (a bathymetric protrusion centred near 64degrees30'S, 3degreesE) and remained open during winter in the late 1970s, may have manifested a mode of deep ocean convection where despite large heat loss at the surface, sustained heat transport from below prevents lasting ice formation. In a different dominant mode (the present one), sea ice forms early in the winter and subsequently provides a thermal barrier that quickly quells incipient deep convection, thus preventing wholesale destruction of the ice cover. A possible mechanism for overcoming the thermal barrier is thermobaricity, the pressure dependence of the thermal expansion factor for seawater. An idealized, two-layer version of actual temperature and salinity profiles from the Weddell illustrates that thermobaric mixing can persist for extended periods in an ice-covered ocean, provided realistic melt rates (controlled by salt exchange at the ice/ocean interface) are specified. This furnishes a possible explanation for transient winter polynyas sometime observed in the ice-covered Southern Ocean. Thermobaricity may provide a trigger for widespread convection with possible climate impact.</t>
  </si>
  <si>
    <t>McPhee Res Co, Naches, WA 98937 USA</t>
  </si>
  <si>
    <t>McPhee Res Co, Naches, WA 98937 USA.</t>
  </si>
  <si>
    <t>10.1017/S0954102003001159</t>
  </si>
  <si>
    <t>WOS:000181701700017</t>
  </si>
  <si>
    <t>Nicol, S; Foster, J</t>
  </si>
  <si>
    <t>Recent trends in the fishery for Antarctic krill</t>
  </si>
  <si>
    <t>AQUATIC LIVING RESOURCES</t>
  </si>
  <si>
    <t>Article</t>
  </si>
  <si>
    <t>Antarctic krill; fishery</t>
  </si>
  <si>
    <t>ABUNDANCE</t>
  </si>
  <si>
    <t>The fishery for Antarctic krill has been stable for a decade with approximately 100 000 tonnes being caught each year. There is continuing commercial interest in products derived from krill. An examination of patent databases indicates that the development of products for human consumption has been overtaken by the development of aquaculture, pharmaceutical and medical products. The development of products for aquaculture is most likely to be the factor that will drive growth in the krill fishing industry. Management of the Antarctic krill fishery has proceeded in advance of expansion and precautionary catch limits for Antarctic krill currently total 4.89 million tonnes similar to50 times the existing harvesting level. (C) 2003 Editions scientifiques et medicales Elsevier SAS and Ifremer/IRD/Inra/Cemagref. All rights reserved.</t>
  </si>
  <si>
    <t>Australian Antarctic Div, Kingston, Tas 7050, Australia; Univ Tasmania, Inst Antarctic &amp; So Ocean Studies, Hobart, Tas 7001, Australia</t>
  </si>
  <si>
    <t>Australian Antarctic Division; University of Tasmania</t>
  </si>
  <si>
    <t>Australian Antarctic Div, Channel Highway, Kingston, Tas 7050, Australia.</t>
  </si>
  <si>
    <t>steve.nicol@aad.gov.au</t>
  </si>
  <si>
    <t>EDP SCIENCES S A</t>
  </si>
  <si>
    <t>LES ULIS CEDEX A</t>
  </si>
  <si>
    <t>17, AVE DU HOGGAR, PA COURTABOEUF, BP 112, F-91944 LES ULIS CEDEX A, FRANCE</t>
  </si>
  <si>
    <t>0990-7440</t>
  </si>
  <si>
    <t>1765-2952</t>
  </si>
  <si>
    <t>AQUAT LIVING RESOUR</t>
  </si>
  <si>
    <t>Aquat. Living Resour.</t>
  </si>
  <si>
    <t>JAN-FEB</t>
  </si>
  <si>
    <t>10.1016/S0990-7440(03)00004-4</t>
  </si>
  <si>
    <t>Fisheries; Marine &amp; Freshwater Biology</t>
  </si>
  <si>
    <t>683MQ</t>
  </si>
  <si>
    <t>Green Published</t>
  </si>
  <si>
    <t>WOS:000183153700005</t>
  </si>
  <si>
    <t>Casiccia, C; Kirchhoff, VWJH; Torres, A</t>
  </si>
  <si>
    <t>Simultaneous measurements of ozone and ultraviolet radiation: Spring 2000, Punta Arenas, Chile</t>
  </si>
  <si>
    <t>ATMOSPHERIC ENVIRONMENT</t>
  </si>
  <si>
    <t>ozone; ozone hole; UV-B radiation</t>
  </si>
  <si>
    <t>ANTARCTIC OZONE; HOLE</t>
  </si>
  <si>
    <t>Total atmospheric column ozone and ultraviolet radiation B (UV-B) were measured at Punta Arenas Chile (lat.53.1degreesS, long.70.9degreesW) with a MK-IV (no. 68) Brewer Spectrophotometer between August 1992 and November 2000. This Brewer is the first of its kind installed in southern Chile close to Antarctica. Data were analyzed for the months of August, September and October 2000, a period during which the Antarctic Ozone Hole covered an area of 28.3 million km(2), its largest extent so far. A threshold level of 220 Dobson Units (DU) was used to define Ozone Hole conditions, which were observed on four occasions that year. On 12 October 2000, ozone values of 170 DU were measured, a 49% decrease compared with the reference mean for October at that latitude. When the Ozone Hole was over Punta Arenas some wavelengths of UV-B increased by more than 20 times compared with similar days when column ozone was normal. (C) 2002 Elsevier Science Ltd. All rights reserved.</t>
  </si>
  <si>
    <t>Univ Magallanes, Lab Ozono &amp; RUV, Bulnes 01855, Punta Arenas, Chile; Inst Nacl Pesquisas Espaciais, BR-12201970 Sao Jose Dos Campos, SP, Brazil</t>
  </si>
  <si>
    <t>Universidad de Magallanes; Instituto Nacional de Pesquisas Espaciais (INPE)</t>
  </si>
  <si>
    <t>Univ Magallanes, Lab Ozono &amp; RUV, UMAGAvda,Casilla 113-D, Bulnes 01855, Punta Arenas, Chile.</t>
  </si>
  <si>
    <t>casiccia@ona.fi.umag.cl</t>
  </si>
  <si>
    <t>PERGAMON-ELSEVIER SCIENCE LTD</t>
  </si>
  <si>
    <t>OXFORD</t>
  </si>
  <si>
    <t>THE BOULEVARD, LANGFORD LANE, KIDLINGTON, OXFORD OX5 1GB, ENGLAND</t>
  </si>
  <si>
    <t>1352-2310</t>
  </si>
  <si>
    <t>1873-2844</t>
  </si>
  <si>
    <t>ATMOS ENVIRON</t>
  </si>
  <si>
    <t>Atmos. Environ.</t>
  </si>
  <si>
    <t>PII S1352-2310(02)00890-7</t>
  </si>
  <si>
    <t>10.1016/S1352-2310(02)00890-7</t>
  </si>
  <si>
    <t>Environmental Sciences; Meteorology &amp; Atmospheric Sciences</t>
  </si>
  <si>
    <t>638NT</t>
  </si>
  <si>
    <t>WOS:000180577700007</t>
  </si>
  <si>
    <t>Rees, JM; Koprov, B; Koprov, V; Zimmerman, WB</t>
  </si>
  <si>
    <t>Rees, J. M.; Koprov, B.; Koprov, V.; Zimmerman, W. B.</t>
  </si>
  <si>
    <t>On solitary wave mediated heat exchange in the Antarctic boundary layer</t>
  </si>
  <si>
    <t>ATMOSPHERIC SCIENCE LETTERS</t>
  </si>
  <si>
    <t>Isotherms; Mathematical modelling; Solitary waves</t>
  </si>
  <si>
    <t>The adiabatic assumption that the vertical velocity can be estimated from the displacement of isotherms is examined for solitary wave events propagating in the stable boundary layer overlying an Antarctic ice shelf. Implications for the mathematical modelling of such waves when this assumption is invalid are discussed. (C) 2003 Royal Meteorological Society. Published by Elsevier Ltd. All rights reserved.</t>
  </si>
  <si>
    <t>[Rees, J. M.] Univ Sheffield, Dept Appl Math, Sheffield S3 7RH, S Yorkshire, England; [Koprov, B.; Koprov, V.] RAS, Inst Atmospher Phys, Moscow 109017, Russia; [Zimmerman, W. B.] Univ Sheffield, Dept Chem &amp; Proc Engn, Sheffield S1 3JD, S Yorkshire, England</t>
  </si>
  <si>
    <t>University of Sheffield; Russian Academy of Sciences; Obukhov Institute of Atmospheric Physics of Russian Academy of Sciences; University of Sheffield</t>
  </si>
  <si>
    <t>Rees, JM (corresponding author), Univ Sheffield, Dept Appl Math, Hicks Bldg,Hounsfield Rd, Sheffield S3 7RH, S Yorkshire, England.</t>
  </si>
  <si>
    <t>j.rees@sheffield.ac.uk</t>
  </si>
  <si>
    <t>Zimmerman, William B/AAG-5900-2020</t>
  </si>
  <si>
    <t>Zimmerman, William B/0000-0001-7123-737X; Rees, Julia/0000-0002-6266-5708</t>
  </si>
  <si>
    <t>EPSRC [GR/A01435/01]; European Commission DG XII [ENV4-CT97-0573-SFINCS]</t>
  </si>
  <si>
    <t>EPSRC(UK Research &amp; Innovation (UKRI)Engineering &amp; Physical Sciences Research Council (EPSRC)); European Commission DG XII(European Union (EU)European Commission Joint Research Centre)</t>
  </si>
  <si>
    <t>The authors would like to thank Dr J.C. King and Dr P. S. Anderson for allowing them access to the British Antarctic Survey's STABLE datasets. WZ would like to thank the EPSRC for support under the Advanced Fellowship Programme GR/A01435/01. This work received support from the European Commission DG XII, Environmental Research Programme, Contract ENV4-CT97-0573-SFINCS.</t>
  </si>
  <si>
    <t>WILEY-BLACKWELL</t>
  </si>
  <si>
    <t>MALDEN</t>
  </si>
  <si>
    <t>COMMERCE PLACE, 350 MAIN ST, MALDEN 02148, MA USA</t>
  </si>
  <si>
    <t>1530-261X</t>
  </si>
  <si>
    <t>ATMOS SCI LETT</t>
  </si>
  <si>
    <t>Atmos. Sci. Lett.</t>
  </si>
  <si>
    <t>1-4</t>
  </si>
  <si>
    <t>10.1016/S1530-261X(03)00002-1</t>
  </si>
  <si>
    <t>Geochemistry &amp; Geophysics; Meteorology &amp; Atmospheric Sciences</t>
  </si>
  <si>
    <t>V19VZ</t>
  </si>
  <si>
    <t>WOS:000208101200001</t>
  </si>
  <si>
    <t>Stark, SC; O'Grady, BV; Burton, HR; Carpenter, D</t>
  </si>
  <si>
    <t>Frigidly concentrated seawater and the evolution of Antarctic saline lakes</t>
  </si>
  <si>
    <t>AUSTRALIAN JOURNAL OF CHEMISTRY</t>
  </si>
  <si>
    <t>Interact 2002 Conference</t>
  </si>
  <si>
    <t>JUL, 2002</t>
  </si>
  <si>
    <t>SYDNEY, AUSTRALIA</t>
  </si>
  <si>
    <t>VESTFOLD-HILLS; EAST ANTARCTICA; MINERAL SOLUBILITIES; CHEMISTRY; SYSTEM; 25-DEGREES-C; HISTORY; HALITE; ORIGIN; BRINES</t>
  </si>
  <si>
    <t>Univ Tasmania, Sch Chem, Sandy Bay 7005, Australia; Australian Antarctic Div, Kingston, Tas 7025, Australia; Royal Melbourne Inst Technol, Dept Appl Chem, Melbourne, Vic 3001, Australia</t>
  </si>
  <si>
    <t>University of Tasmania; Australian Antarctic Division; Royal Melbourne Institute of Technology (RMIT)</t>
  </si>
  <si>
    <t>Stark, SC (corresponding author), Univ Tasmania, Sch Chem, Sandy Bay 7005, Australia.</t>
  </si>
  <si>
    <t>C S I R O PUBLISHING</t>
  </si>
  <si>
    <t>COLLINGWOOD</t>
  </si>
  <si>
    <t>150 OXFORD ST, PO BOX 1139, COLLINGWOOD, VICTORIA 3066, AUSTRALIA</t>
  </si>
  <si>
    <t>0004-9425</t>
  </si>
  <si>
    <t>AUST J CHEM</t>
  </si>
  <si>
    <t>Aust. J. Chem.</t>
  </si>
  <si>
    <t>2-3</t>
  </si>
  <si>
    <t>10.1071/CH02262</t>
  </si>
  <si>
    <t>Chemistry, Multidisciplinary</t>
  </si>
  <si>
    <t>Chemistry</t>
  </si>
  <si>
    <t>657LV</t>
  </si>
  <si>
    <t>WOS:000181669400016</t>
  </si>
  <si>
    <t>Campbell, IB</t>
  </si>
  <si>
    <t>Soil characteristics at a long-term ecological research site in Taylor Valley, Antarctica</t>
  </si>
  <si>
    <t>AUSTRALIAN JOURNAL OF SOIL RESEARCH</t>
  </si>
  <si>
    <t>50th Jubilee Conference of the New-Zealand-Society-of-Soil-Science</t>
  </si>
  <si>
    <t>NOV 25-29, 2002</t>
  </si>
  <si>
    <t>WELLINGTON, NEW ZEALAND</t>
  </si>
  <si>
    <t>cryosols; soil water; Antarctic Dry Valleys; cold deserts</t>
  </si>
  <si>
    <t>MOISTURE</t>
  </si>
  <si>
    <t>Soils at a Long Term Ecological Research site near Lake Hoare in Taylor Valley, Antarctica, were investigated during November/December 1999. The soils alongside 6 experimental plots at the research site were described, repeatedly sampled over a 17-day period, and the gravimetric water content, particle size, and conductivity determined daily. At one nearby location, the soil water content was repeatedly measured after a plot irrigation, while at another, the water content of soil adjacent to a snow patch was repeatedly measured to determine the rate of water loss during thawing of snow. Soils at 2 sites at higher elevations outside the research area were also examined for comparison. The soils at the experimental plots were generally similar but differed in stoniness, the presence of occasional silty layers, and the depth to ice-cemented ground. Water contents (gravimetric) of surface horizons were &lt;0.5% and increased with depth through the active layer to 12% or greater in the ice-cemented permafrost. There were small variations in the water content of surface horizons over the 17-day sampling period with larger variations at depth. A few siltier horizons had higher water contents. The water content profiles and &lt;2 mm% particle size trends were broadly similar for all the sites. Conductivities were low, except in silty horizons where values were markedly higher. At the irrigated site, water was progressively lost over the first 9 days, after which values were close to those at unirrigated sites. There was a less marked loss of water from the soil alongside the thawing snow patch but an increased loss after all snow had thawed. The higher elevation soils outside the experimental area were more weathered and had higher salinities indicating a significantly greater soil age. Small changes in water content in the surface horizons appeared to be related to changing weather conditions, whereas at greater soil depth, changes in the water content corresponded with the increasing thawing depth. The results illustrate the dynamic nature of soil moisture over short periods of time in Antarctic Cold Desert soils.</t>
  </si>
  <si>
    <t>Land &amp; Soil Consultancy Serv, Nelson, New Zealand</t>
  </si>
  <si>
    <t>Campbell, IB (corresponding author), Land &amp; Soil Consultancy Serv, 23 View Mt, Nelson, New Zealand.</t>
  </si>
  <si>
    <t>0004-9573</t>
  </si>
  <si>
    <t>AUST J SOIL RES</t>
  </si>
  <si>
    <t>Aust. J. Soil Res.</t>
  </si>
  <si>
    <t>10.1071/SR02112</t>
  </si>
  <si>
    <t>Soil Science</t>
  </si>
  <si>
    <t>Agriculture</t>
  </si>
  <si>
    <t>686UR</t>
  </si>
  <si>
    <t>WOS:000183339800002</t>
  </si>
  <si>
    <t>Briggs, LC; Ashton, RM; Metcalf, P</t>
  </si>
  <si>
    <t>Development of a highly sensitive screen for influenza A in guano and its application in the search for ancient RNA preserved under antarctic adelie penguin colonies</t>
  </si>
  <si>
    <t>AVIAN DISEASES</t>
  </si>
  <si>
    <t>5th International Symposium on Avian Influenza</t>
  </si>
  <si>
    <t>APR 14-17, 2002</t>
  </si>
  <si>
    <t>ATHENS, GEORGIA</t>
  </si>
  <si>
    <t>avian influenza; penguin; RT-PCR</t>
  </si>
  <si>
    <t>VIRUSES</t>
  </si>
  <si>
    <t>We have developed a reverse transcriptase polymerase chain reaction (RT-PCR)-based assay to detect influenza A in guano samples as part of our program to investigate ancient viral RNA from under Antarctic Adelie penguin (Pygoscelis adeliae) colonies. Of five extraction protocols tested (RNeasy, GTC TRIZOL, GTC Silica, Rnaid, and AGPC), AGPC proved to be the most consistent and sensitive to low concentrations of influenza, but further purification with commercial viral nucleic acid spin filter system was still required to remove remaining PCR inhibitors. RT-PCR was then performed on the eluent and 650 bases of the M1 gene were amplified. The assay was found to be able to detect as little as 100 mul of 0.1 hemagglutination units (HU)/ml influenza.</t>
  </si>
  <si>
    <t>Univ Auckland, Sch Biol Sci, Auckland 1, New Zealand</t>
  </si>
  <si>
    <t>University of Auckland</t>
  </si>
  <si>
    <t>Briggs, LC (corresponding author), Univ Auckland, Sch Biol Sci, Auckland 1, New Zealand.</t>
  </si>
  <si>
    <t>AMER ASSOC AVIAN PATHOLOGISTS</t>
  </si>
  <si>
    <t>KENNETT SQ</t>
  </si>
  <si>
    <t>UNIV PENN, NEW BOLTON CENTER, KENNETT SQ, PA 19348-1692 USA</t>
  </si>
  <si>
    <t>0005-2086</t>
  </si>
  <si>
    <t>AVIAN DIS</t>
  </si>
  <si>
    <t>Avian Dis.</t>
  </si>
  <si>
    <t>S</t>
  </si>
  <si>
    <t>10.1637/0005-2086-47.s3.1200</t>
  </si>
  <si>
    <t>Veterinary Sciences</t>
  </si>
  <si>
    <t>724YN</t>
  </si>
  <si>
    <t>WOS:000185516000081</t>
  </si>
  <si>
    <t>Bonadonna, F; Benhamou, S; Jouventin, P</t>
  </si>
  <si>
    <t>Berthold, P; Gwinner, E; Sonnenschein, E</t>
  </si>
  <si>
    <t>Orientation in featureless environments: The extreme case of pelagic birds</t>
  </si>
  <si>
    <t>AVIAN MIGRATION</t>
  </si>
  <si>
    <t>Symposium on Avian Migration</t>
  </si>
  <si>
    <t>SEP 03-06, 2001</t>
  </si>
  <si>
    <t>UNIV KONSTANZ, CONSTANCE, GERMANY</t>
  </si>
  <si>
    <t>UNIV KONSTANZ</t>
  </si>
  <si>
    <t>ANTARCTIC PROCELLARIIFORM SEABIRDS; SATELLITE TRACKING; WANDERING ALBATROSSES; HOMING PIGEONS; SPATIAL MEMORY; MAGNETIC ORIENTATION; DISTANCE NAVIGATION; MARINE-ENVIRONMENT; EMPEROR PENGUINS; NORTHERN FULMARS</t>
  </si>
  <si>
    <t>CNRS, CEFE, Behav Ecol Grp, F-34293 Montpellier 5, France</t>
  </si>
  <si>
    <t>Universite PSL; Ecole Pratique des Hautes Etudes (EPHE); Institut Agro; Montpellier SupAgro; CIRAD; Centre National de la Recherche Scientifique (CNRS); Institut de Recherche pour le Developpement (IRD); Universite Paul-Valery; Universite de Montpellier</t>
  </si>
  <si>
    <t>Bonadonna, F (corresponding author), CNRS, CEFE, Behav Ecol Grp, F-34293 Montpellier 5, France.</t>
  </si>
  <si>
    <t>Bonadonna, Francesco/A-7456-2008</t>
  </si>
  <si>
    <t>Bonadonna, Francesco/0000-0002-2702-5801</t>
  </si>
  <si>
    <t>SPRINGER-VERLAG BERLIN</t>
  </si>
  <si>
    <t>BERLIN</t>
  </si>
  <si>
    <t>HEIDELBERGER PLATZ 3, D-14197 BERLIN, GERMANY</t>
  </si>
  <si>
    <t>3-540-43408-9</t>
  </si>
  <si>
    <t>Ornithology</t>
  </si>
  <si>
    <t>Zoology</t>
  </si>
  <si>
    <t>BX52C</t>
  </si>
  <si>
    <t>WOS:000185588600026</t>
  </si>
  <si>
    <t>Greenland, D; Hayden, BP; Magnuson, JJ; Ollinger, SV; Pielke, RA; Smith, RC</t>
  </si>
  <si>
    <t>Long-term research on biosphere atmosphere interactions</t>
  </si>
  <si>
    <t>BIOSCIENCE</t>
  </si>
  <si>
    <t>atmosphere; climate; biosphere; ice; land use</t>
  </si>
  <si>
    <t>CLIMATE-CHANGE; LAND-USE; ULTRAVIOLET-RADIATION; ECOLOGICAL RESPONSE; ARCTIC TUNDRA; WATER YIELD; FOREST; VARIABILITY; ECOSYSTEMS; ICE</t>
  </si>
  <si>
    <t>Selected findings from the Long Term Ecological Research (LTER) program are described in the field of biosphere-atmosphere interactions. The Palmer, Antarctic, site contributes evidence to the debate on the ecological effects of increased ultraviolet-B radiation; the ecological response to a warming trend over the past half-century has been clearly documented there. The North Temperate Lakes site in Wisconsin was the principal LTER site for an international study to document a 100-year trend of change in freeze and thaw dates of boreal lakes. A multidisciplinary approach to soil warming studies benefited from observations over decades and demonstrated the importance of initial conditions. The LTER Network permits investigation of atmosphere-ecosystem interactions over a long period encompassing storm events and quasi-periodic climate variability. LTER studies show that ecosystem dynamics often cannot be decoupled from atmospheric processes. Atmospheric processes are an integral component of the ecosystem and vice versa. Finally, we provide an example of how regionalization studies, often grounded in atmospheric data, add a spatial context to LTER sites and identify controls on ecological processes across broader environmental gradients.</t>
  </si>
  <si>
    <t>Univ N Carolina, Dept Geog, Chapel Hill, NC 27599 USA; Univ Virginia, Dept Environm Sci, Charlottesville, VA 22903 USA; Univ Wisconsin, Ctr Limnol, Madison, WI 53706 USA; Univ New Hampshire, Complex Syst Res Ctr, Durham, NH 03824 USA; Colorado State Univ, Dept Atmospher Sci, Ft Collins, CO 80523 USA; Univ Calif Santa Barbara, Inst Computat Earth Syst Sci, Santa Barbara, CA 93106 USA</t>
  </si>
  <si>
    <t>University of North Carolina; University of North Carolina Chapel Hill; University of Virginia; University of Wisconsin System; University of Wisconsin Madison; University System Of New Hampshire; University of New Hampshire; Colorado State University; University of California System; University of California Santa Barbara</t>
  </si>
  <si>
    <t>Univ N Carolina, Dept Geog, Chapel Hill, NC 27599 USA.</t>
  </si>
  <si>
    <t>greenlan@email.unc.edu</t>
  </si>
  <si>
    <t>Ollinger, Scott V/N-3380-2014; Pielke, Roger A/A-5015-2009</t>
  </si>
  <si>
    <t>Ollinger, Scott V/0000-0001-6226-1431;</t>
  </si>
  <si>
    <t>OXFORD UNIV PRESS</t>
  </si>
  <si>
    <t>GREAT CLARENDON ST, OXFORD OX2 6DP, ENGLAND</t>
  </si>
  <si>
    <t>0006-3568</t>
  </si>
  <si>
    <t>1525-3244</t>
  </si>
  <si>
    <t>Bioscience</t>
  </si>
  <si>
    <t>10.1641/0006-3568(2003)053[0033:LTROBA]2.0.CO;2</t>
  </si>
  <si>
    <t>Biology</t>
  </si>
  <si>
    <t>Life Sciences &amp; Biomedicine - Other Topics</t>
  </si>
  <si>
    <t>635EL</t>
  </si>
  <si>
    <t>WOS:000180385200012</t>
  </si>
  <si>
    <t>Cremer, H; Roberts, D; McMinn, A; Gore, D; Melles, M</t>
  </si>
  <si>
    <t>The Holocene diatom flora of marine bays in the Windmill Islands, East Antarctica</t>
  </si>
  <si>
    <t>BOTANICA MARINA</t>
  </si>
  <si>
    <t>GENUS THALASSIOSIRA BACILLARIOPHYCEAE; SEA-ICE DIATOMS; SURFACE SEDIMENTS; ROSS SEA; PHYTOPLANKTON SUCCESSION; BIDDULPHIOID DIATOMS; MANITOUNUK SOUND; RESTING SPORES; VESTFOLD HILLS; COMB-NOV</t>
  </si>
  <si>
    <t>The Holocene diatom flora identified in three sediment cores from marine bays in the Windmill Islands (East Antarctica) is described and depicted for the first time. One hundred and twenty-four diatom taxa could be identified of which eighty-one taxa have a circum-Antarctic distribution. All taxa are listed in a table together with appropriate references and remarks on ecology and biogeography. The most diverse genera are Fragilariopsis, Navicula and Thalassiosira. Some taxa (e.g., Chaetoceros spp., Fragilariopsis curta, E cylindrus, Navicula glaciei and Synedropsis spp.) have the potential to be used as indicator taxa for the reconstruction of palaeoceanographic conditions in the Windmill Islands.</t>
  </si>
  <si>
    <t>Univ Utrecht, Dept Geobiol, Palaeobot &amp; Palynol Lab, NL-3584 CD Utrecht, Netherlands; Univ Tasmania, Inst Antarctic &amp; So Ocean Studies, Hobart, Tas 7001, Australia; Macquarie Univ, Dept Phys Geog, N Ryde, NSW 2109, Australia; Univ Leipzig, Fac Phys &amp; Geosci, Inst Geol &amp; Geophys, D-04103 Leipzig, Germany</t>
  </si>
  <si>
    <t>Utrecht University; University of Tasmania; Macquarie University; Leipzig University</t>
  </si>
  <si>
    <t>Univ Utrecht, Dept Geobiol, Palaeobot &amp; Palynol Lab, Budapestlaan 4, NL-3584 CD Utrecht, Netherlands.</t>
  </si>
  <si>
    <t>h.cremer@bio.uu.nl</t>
  </si>
  <si>
    <t>McMinn, Andrew/A-9910-2008; Melles, Martin/J-4070-2012</t>
  </si>
  <si>
    <t>Melles, Martin/0000-0003-0977-9463; Gore, Damian/0000-0002-0377-8518; Roberts, Donna/0000-0001-6701-6662</t>
  </si>
  <si>
    <t>WALTER DE GRUYTER GMBH</t>
  </si>
  <si>
    <t>GENTHINER STRASSE 13, D-10785 BERLIN, GERMANY</t>
  </si>
  <si>
    <t>0006-8055</t>
  </si>
  <si>
    <t>1437-4323</t>
  </si>
  <si>
    <t>BOT MAR</t>
  </si>
  <si>
    <t>Bot. Marina</t>
  </si>
  <si>
    <t>10.1515/BOT.2003.010</t>
  </si>
  <si>
    <t>Plant Sciences; Marine &amp; Freshwater Biology</t>
  </si>
  <si>
    <t>653UE</t>
  </si>
  <si>
    <t>WOS:000181454800009</t>
  </si>
  <si>
    <t>Jolly, MT; Rogers, AD; Sheader, M</t>
  </si>
  <si>
    <t>Microgeographic genetic variation of populations of Idotea chelipes (Crustacea: Isopoda) in lagoons of the southern English coast.</t>
  </si>
  <si>
    <t>CAHIERS DE BIOLOGIE MARINE</t>
  </si>
  <si>
    <t>Idotea chelipes; allozymes; UK Coastal lagoons; Solent; gene flow</t>
  </si>
  <si>
    <t>JAERA ALBIFRONS LEACH; COLOR POLYMORPHISM; DIFFERENTIATION; ELECTROPHORESIS; SPECIATION; VALVIFERA; GAMMARUS; BALTICA; COMPLEX; COPEPOD</t>
  </si>
  <si>
    <t>Allozyme variability was examined using starch-gel electrophoresis between sub-populations of Idotea chelipes over a small geographic distance (approx. 104 km), in lagoons within the Solent area (Fort Gilkicker Moat; Ashlett Pond) and at one site in Dorset (the Fleet Lagoon). Genetic identity values indicate that all three populations are conspecific (I = 0.967 to 0.995), and mean heterozygosity per locus for all three populations was 8%. Significant levels of genetic differentiation (mean F-ST = 0.119***; p &lt; 0.001) were detected over this small spatial scale, but this mainly resulted from the slow esterase locus (mean F-ST (no esterase) = 0.072***; p &lt; 0.001). Genetic differentiation was moderate given the low geographic distances between populations with only one to two migrants per deme per generation (N(e)m(F-ST) = 1.85) from the Fleet to Gilkicker. There was no significant deviation from the genotypes expected under the Hardy-Weinberg equilibrium despite an overall slight excess of heterozygotes (mean F-IS = -0.01). Pairwise F-ST values indicated that there was limited genetically effective migration between the sampled lagoons. This genetic differentiation may have been promoted by the presence of the Southampton Water and Solent estuarine system that may act as a physical barrier to gene flow for this species. The previous use of the esterase (ET2) locus as a sub-specific biochemical marker for Idotea chelipes is placed in doubt by this study.</t>
  </si>
  <si>
    <t>Univ Southampton, Sch Earth &amp; Ocean Sci, Southampton Oceanog Ctr, Southampton SO14 3ZH, Hants, England; UPMC, CNRS, UMR 7127, Stn Biol Roscoff, Roscoff, France; British Antarctic Survey, Cambridge CB3 0ET, England</t>
  </si>
  <si>
    <t>NERC National Oceanography Centre; University of Southampton; Sorbonne Universite; Centre National de la Recherche Scientifique (CNRS); UK Research &amp; Innovation (UKRI); Natural Environment Research Council (NERC); NERC British Antarctic Survey</t>
  </si>
  <si>
    <t>Jolly, MT (corresponding author), Univ Southampton, Sch Earth &amp; Ocean Sci, Southampton Oceanog Ctr, Empress Dock, Southampton SO14 3ZH, Hants, England.</t>
  </si>
  <si>
    <t>jolly@sb-roscoff.fr</t>
  </si>
  <si>
    <t>Rogers, Alex David/0000-0002-4864-2980</t>
  </si>
  <si>
    <t>ROSCOFF</t>
  </si>
  <si>
    <t>STATION BIOLOGIQUE PLACE GEORGES TEISSIER, 29680 ROSCOFF, FRANCE</t>
  </si>
  <si>
    <t>0007-9723</t>
  </si>
  <si>
    <t>CAH BIOL MAR</t>
  </si>
  <si>
    <t>Cah. Biol. Mar.</t>
  </si>
  <si>
    <t>Marine &amp; Freshwater Biology</t>
  </si>
  <si>
    <t>766EC</t>
  </si>
  <si>
    <t>WOS:000188352000002</t>
  </si>
  <si>
    <t>Arim, M; Naya, DE</t>
  </si>
  <si>
    <t>Pinniped diets inferred from scats: analysis of biases in prey occurrence</t>
  </si>
  <si>
    <t>CANADIAN JOURNAL OF ZOOLOGY</t>
  </si>
  <si>
    <t>ANTARCTIC FUR SEALS; ARCTOCEPHALUS-GAZELLA; DIGESTIVE EFFICIENCY; NORTHWEST ATLANTIC; PHOCA-GROENLANDICA; FECAL SAMPLES; FISH PREY; OTOLITHS; HARBOR; DIGESTIBILITY</t>
  </si>
  <si>
    <t>The diets of pinnipeds have often been used to study their ecology and resource dynamics and in ecosystem monitoring. Scat analysis is now the most widely used method of inferring the diets of pinnipeds. Using a mathematical model the present study explores the expected biases in prey occurrence that are related to prey mass, proportion of loss of remains, predator assimilation efficiency, size of the scats collected, and meal size. With the exception of meal size, variation in parameters implied variation in the probability of biases in prey occurrence. Biases were asymmetric among prey sizes, but in contrast with previous ideas, the results indicate that small prey have smaller biases than large ones do. Furthermore, the number of scats required to detect a large prey was notably larger than that needed to detect a small prey with the same occurrence. The present study is not limited to a particular pinniped or prey species, so it has the potential to represent a general framework for interpreting the results of scat analysis in pinnipeds. The model complements empirical studies, advancing our comprehension of biases associated with prey occurrence in dietary studies of pinnipeds.</t>
  </si>
  <si>
    <t>Univ Republ Uruguay, Fac Ciencias, Dept Ecol, Montevideo, Uruguay; Univ Republ Uruguay, Fac Ciencias, Secc Zool Vertebrados, Montevideo, Uruguay</t>
  </si>
  <si>
    <t>Universidad de la Republica, Uruguay; Universidad de la Republica, Uruguay</t>
  </si>
  <si>
    <t>Pontificia Univ Catolica Chile, Ctr Estudios Avanzados Econ &amp; Biodiversidad, Alameda 340,CP 6513677,Casilla 114-D, Santiago, Chile.</t>
  </si>
  <si>
    <t>marim@genes.bio.puc.cl</t>
  </si>
  <si>
    <t>Arim, Matias/H-7649-2019</t>
  </si>
  <si>
    <t>Arim, Matias/0000-0002-7648-8909</t>
  </si>
  <si>
    <t>CANADIAN SCIENCE PUBLISHING</t>
  </si>
  <si>
    <t>OTTAWA</t>
  </si>
  <si>
    <t>65 AURIGA DR, SUITE 203, OTTAWA, ON K2E 7W6, CANADA</t>
  </si>
  <si>
    <t>0008-4301</t>
  </si>
  <si>
    <t>1480-3283</t>
  </si>
  <si>
    <t>CAN J ZOOL</t>
  </si>
  <si>
    <t>Can. J. Zool.</t>
  </si>
  <si>
    <t>10.1139/Z02-221</t>
  </si>
  <si>
    <t>656NQ</t>
  </si>
  <si>
    <t>WOS:000181614200008</t>
  </si>
  <si>
    <t>Phillips, RA; Croxall, JP</t>
  </si>
  <si>
    <t>Control of provisioning in grey-headed albatrosses (Thalassarche chrysostoma):: do adults respond to chick condition?</t>
  </si>
  <si>
    <t>LONG-LIVED SEABIRD; EXPERIMENTAL MANIPULATION; CALONECTRIS-DIOMEDEA; CORYS SHEARWATER; FOOD DELIVERY; MEAL SIZE; FEEDING FREQUENCY; FORAGING STRATEGY; ANTARCTIC PETREL; PELAGIC SEABIRD</t>
  </si>
  <si>
    <t>Recent studies have been equivocal in determining whether long-lived seabirds are able to respond to chick nutritional status and regulate provisioning rates accordingly. With some exceptions, albatrosses and petrels that feed their chicks every 1-3 days seem able to respond to variability in chick condition. In contrast, those with longer overall feeding periodicity and that frequently show a dual foraging strategy, mixing short trips (which most benefit the chick) with longer, pelagic feeding excursions (during which time adults recover lost condition), tend not to regulate provisioning. We used a combined observational and experimental approach to determine whether feeding rates in grey-headed albatrosses (Thalassarche chrysostoma) were determined by parental foraging proficiency and (or) offspring demand. The results indicated that both factors were important. Adults showed consistent differences in provisioning characteristics, but chick satiation and solicitation also influenced the mass of the meal delivered when adults returned. Given a provisioning schedule characterised by relatively frequent colony visits and with no means of assessing the feeding success of their partner in the interim, the adjustment of meal mass upon arrival appears to be a simple means of tailoring prey delivery to changing chick requirements and is likely to be as effective as alternative strategies suggested for other species of Procellariiform.</t>
  </si>
  <si>
    <t>raphil@bas.ac.uk</t>
  </si>
  <si>
    <t>10.1139/Z02-234</t>
  </si>
  <si>
    <t>WOS:000181614200013</t>
  </si>
  <si>
    <t>Litvinov, FF; Sushin, VA; Chernega, GA; Berezhinsky, OA</t>
  </si>
  <si>
    <t>The soviet krill fishery in the Atlantic sector of the Antarctic from 1977 to 1991: Fishing effort distribution and interannual patterns</t>
  </si>
  <si>
    <t>CCAMLR SCIENCE</t>
  </si>
  <si>
    <t>Antarctic krill fishery; Atlantic Sector of the Antarctic; fishing effort; atmospheric air movements; CCAMLR</t>
  </si>
  <si>
    <t>Data on the Soviet krill fishery in the Atlantic Sector of the Antarctic from 1977 to 1992 are discussed. The total fishing effort from 1977 to 1991 was 50 086 vessel-days fished, in Subareas 48.3 (45% of the total for the period), 48.2 (36%) and 48.1 (19%). Three distinct patterns in the distribution of monthly fishing effort between subareas were recognised: Type I covered the period 1981-1982, Type II 1983-1986 and Type III 1987-1988. It is likely that environmental conditions and operational constraints influenced the distribution of fishing effort. The three types of distribution correspond to the spatial and temporal variability of the meridional atmospheric processes. Retrospective data analyses show that the fishing effort is most intense in the subarea where air transfer from the south is greatest. The phenomenon occurs in Subareas 48.1 and 48.2 under conditions of increased westward component of the zonal air exchange and in Subarea 48.3 of decreased westward component.</t>
  </si>
  <si>
    <t>AtlantNIRO, Kaliningrad 236000, Russia</t>
  </si>
  <si>
    <t>Research lnstitute of Fisheries &amp; Oceanography</t>
  </si>
  <si>
    <t>Litvinov, FF (corresponding author), AtlantNIRO, 5 Dmitry Donskoy St, Kaliningrad 236000, Russia.</t>
  </si>
  <si>
    <t>flit@atlant.baltnet.ru</t>
  </si>
  <si>
    <t>C C A M L R TI</t>
  </si>
  <si>
    <t>NORTH HOBART</t>
  </si>
  <si>
    <t>PO BOX 213, NORTH HOBART, TAS 7002, AUSTRALIA</t>
  </si>
  <si>
    <t>1023-4063</t>
  </si>
  <si>
    <t>CCAMLR SCI</t>
  </si>
  <si>
    <t>CCAMLR Sci.</t>
  </si>
  <si>
    <t>Fisheries</t>
  </si>
  <si>
    <t>768DE</t>
  </si>
  <si>
    <t>WOS:000188512300001</t>
  </si>
  <si>
    <t>Kasatkinar, SM; Ivanova, W</t>
  </si>
  <si>
    <t>Fishing intensity of the Soviet fleet in krill fisheries in the Southern Atlantic (subareas 48.2 and 48.3)</t>
  </si>
  <si>
    <t>commercial fleet; krill-dependent predators; fishery intensity; CCAMLR</t>
  </si>
  <si>
    <t>ANTARCTIC FUR SEALS</t>
  </si>
  <si>
    <t>This paper provides an assessment of the impact of the commercial fleet on the krill population in different months during the 1987 to 1990 fishing seasons within Subareas 48.2 and 48.3. During this period catches reported by the Soviet fleet amounted to more than 95% of the total catch. The calculations were based on haul-by-haul data from the Soviet fleet, using a probability statistical theory of fishery systems developed at AtlantNIRO. The impact of the commercial fleet on the krill population - on biomass and the density of krill aggregated in the fishing grounds - was assessed using data from 22 800 hauls. The results of this study indicate that during periods of maximum fishing intensity, the Soviet fishing fleet had no impact on the krill stock or, consequently, on krill-dependent predators. It is concluded that although there is a spatial overlap of the dependent species and the fishery, this is not sufficient to amount to a functional overlap.</t>
  </si>
  <si>
    <t>Kasatkinar, SM (corresponding author), AtlantNIRO, 5 Dmitry Donskoy St, Kaliningrad 236000, Russia.</t>
  </si>
  <si>
    <t>ks@atlant.baltnet.ru</t>
  </si>
  <si>
    <t>WOS:000188512300002</t>
  </si>
  <si>
    <t>Clarke, J; Emmerson, LM; Townsend, A; Kerry, KR</t>
  </si>
  <si>
    <t>Demographic characteristics of the Adelie penguin population on Bechervaise Island after 12 years of study</t>
  </si>
  <si>
    <t>Adelie penguin; CEMP; demography; survivorship; fecundity; life tables; population growth; CCAMLR</t>
  </si>
  <si>
    <t>FLIPPER-BANDS</t>
  </si>
  <si>
    <t>Demographic parameters (age-specific survival rates, fecundity levels and population numbers) were analysed for the Bechervaise Island Adelie penguin colony in eastern Antarctica after 12 years of monitoring under the CCAMLR Ecosystem Monitoring Program (CEMP). A life table was constructed, and predicted rates of population growth and breeding success calculated. The population model predicted an annual population growth rate of 0.3% compared to the 1.2-1.8% increase per annum indicated from field counts. Underestimation of adult survival rates was considered the most likely explanation for the discrepancy. As is the case for most long-lived seabird species, growth/decline rates of the Adelie penguin population at Bechervaise Island were found to be more sensitive to changes in annual survival rates, especially of young breeding adults, than to changes in fecundity parameters. Results are discussed in comparison with data from a declining Adelie penguin population in the Ross Sea studied during the 1960s and 1970s (Ainley et al., 1983), and in relation to other CEMP parameters, environmental factors and fishery regulations. The data collection and analysis methods outlined in this paper provide a basis for the development of data reporting formats for CEMP Standard Method A4.</t>
  </si>
  <si>
    <t>Clarke, J (corresponding author), Australian Antarctic Div, Channel Highway, Kingston, Tas 7050, Australia.</t>
  </si>
  <si>
    <t>judy.clarke@aad.gov.au</t>
  </si>
  <si>
    <t>WOS:000188512300004</t>
  </si>
  <si>
    <t>Emmerson, LM; Clarke, J; Kerry, KR; Southwell, C</t>
  </si>
  <si>
    <t>Temporal variability and the interrelationships between CEMP parameters collected on Adelie penguins at Bechervaise Island</t>
  </si>
  <si>
    <t>Adelie penguin; temporal variability; correlation; Antarctica; breeding success; CEMP; monitoring program; CCAMLR</t>
  </si>
  <si>
    <t>BREEDING SUCCESS; SEA-ICE; PYGOSCELIS-ADELIAE; FLIPPER-BANDS; POPULATIONS</t>
  </si>
  <si>
    <t>Temporal variability in a series of CCAMLR Ecosystem Monitoring Program (CEMP) parameters and the interrelationships between these parameters were examined for Adelie penguins over a period of 12 years. Data were collected from 1990/91 to 2001/02 at Bechervaise Island, Eastern Antarctica. Parameters relating to chick survival (brooding nest counts, counts of chicks when two-thirds were creched and fully creched chick counts) display large temporal variability while other parameters, such as arrival counts and incubating nest counts, are more stable between years. The low degree of correlation between parameters collected before incubating nest counts with those collected after brooding nest counts reinforces the notion that events occurring during the hatching period are critical for chick survival. There was a strong negative correlation between female foraging trip duration during both the guard and the creche period and breeding success, while the correlation between breeding success and foraging trip duration was low for males. Male foraging trips during the creche period were, however, moderately correlated with fledgling mass. Within-season penguin weights, the simplest output from the Automated Penguin Monitoring System (APMS), were also examined in terms of their correlation with breeding success. Results indicate that low weights of females at the time they depart after egg laying appears to be the first indication that a season may have low breeding success. The results obtained throughout these analyses indicate that knowledge of the sex of birds can be important for understanding breeding success and the interrelationships between CEMP parameters.</t>
  </si>
  <si>
    <t>Emmerson, LM (corresponding author), Australian Antarctic Div, Channel Highway, Kingston, Tas 7050, Australia.</t>
  </si>
  <si>
    <t>louise.emmerson@aad.gov.au</t>
  </si>
  <si>
    <t>WOS:000188512300005</t>
  </si>
  <si>
    <t>Wafy, MH; Brierley, AS; Gull, SF; Watkins, JL</t>
  </si>
  <si>
    <t>Maximum entropy reconstructions of krill distribution and estimates of krill density from acoustic surveys at South Georgia, 1996-2000\</t>
  </si>
  <si>
    <t>acoustic survey; Bayesian; density; distribution; hot spots; krill; MaxEnt; Maximum Entropy; reconstruction; CCAMLR</t>
  </si>
  <si>
    <t>This paper presents Maximum Entropy (MaxEnt) reconstructions of krill distribution and estimates of mean krill density within two survey boxes (dimensions 80 km x 100 km) north of South Georgia. The reconstructions were generated from line-transect acoustic survey data gathered in the boxes during austral summers from 1996 to 2000. Krill densities had previously been determined at approximately 0.5 km intervals along each of the ten 80 km transects in each box, providing about 1600 density estimates per box. The MaxEnt technique uses an iterative Bayesian approach to infer the most probable krill density for each of the 32 000 0.5 x 0.5 km cells in each box, taking explicit account of the spatial relationship between densities in the observed data. Despite some very large interannual and regional differences in mean krill density, the MaxEnt approach works well, providing plausible maps of krill distribution. The maps reveal some consistent 'hot spots' of krill distribution, knowledge of which could aid the understanding of mechanisms influencing krill distribution, and hence krill/predator interactions. The MaxEnt technique also yields mean krill densities for each survey, for which the confidence limits are often narrower than those determined from conventional statistical analyses.</t>
  </si>
  <si>
    <t>Univ St Andrews, Pelag Ecol Res Grp, Gatty Marine Lab, St Andrews KY16 8LB, Fife, Scotland; Cavevdish Lab, Astrophys Grp, Cambridge CB3 0HE, England; British Antarctic Survey, Biosci Div, Cambridge CB3 0ET, England</t>
  </si>
  <si>
    <t>University of St Andrews; University of Cambridge; UK Research &amp; Innovation (UKRI); Natural Environment Research Council (NERC); NERC British Antarctic Survey</t>
  </si>
  <si>
    <t>Univ St Andrews, Pelag Ecol Res Grp, Gatty Marine Lab, St Andrews KY16 8LB, Fife, Scotland.</t>
  </si>
  <si>
    <t>asb4@st-and.ac.uk</t>
  </si>
  <si>
    <t>Brierley, Andrew/G-8019-2011</t>
  </si>
  <si>
    <t>Brierley, Andrew/0000-0002-6438-6892</t>
  </si>
  <si>
    <t>WOS:000188512300006</t>
  </si>
  <si>
    <t>Marlow, TR; Agnew, DJ; Purves, MG; Everson, I</t>
  </si>
  <si>
    <t>Movement and growth of tagged Dissostichus eleginoides around South Georgia and Shag Rocks (subarea 48.3)</t>
  </si>
  <si>
    <t>Dissostichus eleginoides; South Georgia; tagging; movement; growth; CCAMLR</t>
  </si>
  <si>
    <t>AGE</t>
  </si>
  <si>
    <t>In 2000 the UK started a Patagonian toothfish (Dissostichus eleginoides) tagging program to investigate the spatial and temporal movement of fish and to validate otolith-based growth estimates. Approximately 2 260 toothfish have been tagged and released during groundfish surveys and CCAMLR observer trips. This includes about 900 that have been injected with either strontium chloride or oxytetracycline that places a permanent chemical marker on the otolith indicating the date of injection and release. To date, 51 fish have been recaptured, mostly around Shag Rocks where there is greatest fishing activity. Most of the fish recaptured to date were tagged and released during experimental pot fishing in 2000 and 2001, and have been at liberty from one to two years. Four fish were tagged and recaptured from the same longline vessel in 2002 after up to two months at liberty The fish tagged during the groundfish surveys may not yet be large enough to be available to the longline fishery and there have been no reported recaptures of these fish tagged at South Georgia or elsewhere in the South Atlantic. Similarly, D. eleginoides tagged and released on the Patagonian Shelf have not been recaptured at South Georgia. Fourteen tags have been recovered from a high seas area on the Patagonian Shelf at 42degreesS after about one,year at liberty from some opportunistic tagging carried out on a toothfish pot vessel in international waters at that latitude in 2001.</t>
  </si>
  <si>
    <t>Marine Resources Assessment Grp Ltd, London SW7 2QA, England; British Antarctic Survey, Natl Environm Council, Cambridge CB3 0ET, England</t>
  </si>
  <si>
    <t>Marine Resources Assessment Grp Ltd, 47 Princes Gate,S Kensington, London SW7 2QA, England.</t>
  </si>
  <si>
    <t>thomas.marlow@ic.ac.uk</t>
  </si>
  <si>
    <t>WOS:000188512300007</t>
  </si>
  <si>
    <t>Fenaughty, JM; Stevens, DW; Hanchet, SM</t>
  </si>
  <si>
    <t>Diet of the Antarctic toothfish (Dissostichus mawsoni) from the Ross Sea, Antarctica (subarea 88.1)</t>
  </si>
  <si>
    <t>Antarctic toothfish; Dissostichus mawsoni; diet; Ross Sea; trophic relationships; CCAMLR</t>
  </si>
  <si>
    <t>PATAGONIAN TOOTHFISH; DEMERSAL FISH; ELEGINOIDES; ISLANDS</t>
  </si>
  <si>
    <t>The diet of Antarctic toothfish (Dissostichus mawsoni) captured by bottom longline in the Ross Sea during the 2001 and 2002 fishing seasons was analysed (3 937 and 5 426 stomachs examined respectively). Fish sampled in 2001 were caught at depths of 317 to 2 154 m and ranged from 58 to 190 cm in total length (TL). Fish sampled in 2002 were caught at depths of 815 to 1623 m and ranged from 62 to 197 cm TL. A high proportion of stomachs were empty (34% in 2001 and 49% in 2002) and the remaining stomachs often contained prey in advanced stages of digestion, making prey identification difficult. Fish were the most important prey category (%F = 86 in 2001 and %F = 77 in 2002), in particular icefish (family Channichthyidae) and Whitson's rattail (Macrourus whitsoni). Squid, bait and prawns followed in importance in the diet.</t>
  </si>
  <si>
    <t>Silvifish Resources Ltd, Wellington, New Zealand; NIWA Ltd, Wellington, New Zealand; NIWA Ltd, Nelson, New Zealand</t>
  </si>
  <si>
    <t>National Institute of Water &amp; Atmospheric Research (NIWA) - New Zealand; National Institute of Water &amp; Atmospheric Research (NIWA) - New Zealand</t>
  </si>
  <si>
    <t>Fenaughty, JM (corresponding author), Silvifish Resources Ltd, POB 17-058, Wellington, New Zealand.</t>
  </si>
  <si>
    <t>jmfenaughty@clear.net.nz</t>
  </si>
  <si>
    <t>WOS:000188512300008</t>
  </si>
  <si>
    <t>Horn, PL; Sutton, CP; DeVries, AL</t>
  </si>
  <si>
    <t>Evidence to support the annual formation of growth zones in otoliths of Antarctic toothfish (Dissostichus mawsoni)</t>
  </si>
  <si>
    <t>age validation; length-frequency modal analysis; oxytetracycline; CCAMLR</t>
  </si>
  <si>
    <t>Antarctic toothfish (Dissostichus mawsoni) from the Ross Sea (CCAMLR Subarea 88.1) have been aged assuming that one translucent zone is formed annually in the otoliths of this species. However, no evidence to validate this assumption has previously been presented. In the current work, otoliths from four distinct juvenile length-frequency modes were examined, and the translucent zones counted. Zone counts were consistent within modes, and increased by one in each consecutive mode. This indicates that the modes represented year classes and that one translucent zone is formed annually in otoliths of juvenile D. mawsoni. Mean fish lengths at ages 0.5, 1.5, 2.5 and 3.5 years were estimated to be 14, 28, 37 and 46 cm total length (TL) respectively. These estimates agree with growth curves calculated previously from a sample of data that was large but lacked any fish younger than 3.5 years. Counting translucent zones in the otoliths of D. mawsoni appears to be a valid method for determining the age of this species. In addition, sagittal otoliths were examined from D. mawsoni that had been injected with oxytetracycline some years before recapture. The six recaptured fish were all large (129-145 cm TL at tagging) and had been at liberty from 1 to 7 years. The number of zones between the fluorescent oxytetracycline line and the otolith margin indicates that one translucent zone is formed annually in otoliths of post-mature D. mawsoni.</t>
  </si>
  <si>
    <t>NIWA Ltd, Nelson, New Zealand; NIWA Ltd, Wellington, New Zealand; Univ Illinois, Dept Biol Anim, Urbana, IL 61801 USA</t>
  </si>
  <si>
    <t>National Institute of Water &amp; Atmospheric Research (NIWA) - New Zealand; National Institute of Water &amp; Atmospheric Research (NIWA) - New Zealand; University of Illinois System; University of Illinois Urbana-Champaign</t>
  </si>
  <si>
    <t>Horn, PL (corresponding author), NIWA Ltd, POB 893, Nelson, New Zealand.</t>
  </si>
  <si>
    <t>p.horn@niwa.co.nz</t>
  </si>
  <si>
    <t>Horn, Peter/0000-0003-4163-5064</t>
  </si>
  <si>
    <t>WOS:000188512300009</t>
  </si>
  <si>
    <t>van Wijk, EM; Williams, R; Constable, AJ</t>
  </si>
  <si>
    <t>Age, growth and size at sexual maturity of Macrourus carinatus caught as by-catch in Australian sub-Antarctic trawl fisheries</t>
  </si>
  <si>
    <t>Macrourus carinatus; grenadiers; age; growth; maturity; by-catch; length-weight; division 58.5.2; Heard and McDonald Islands; CCAMLR</t>
  </si>
  <si>
    <t>GRENADIER; SLOPE; FISH</t>
  </si>
  <si>
    <t>Estimates of age and growth were obtained from 156 Macrourus carinatus otolith samples collected during two research voyages to Heard and McDonald Islands (Division 58.5.2) in 1992 and 1993. The range of estimated ages was 4 to 25 years. There were no significant differences in growth parameters calculated for males and females. Von Bertalanffy growth parameters for both sexes combined were: L-infinity = 690 mm, K = 0.069 and t(0) = -2.4. The size at sexual maturity of M. carinatus was determined from 162 specimens collected during commercial trawl fishing operations in the Heard Island region in 2000. The length at first maturity (L-50) was 418 mm (total length) and the length at first spawning (L-m50) was 511 mm (total length), for both sexes combined. The length-weight relationship for M. carinatus from Heard and McDonald Islands was statistically different to that from Macquarie Island. Otolith and body size relationships are presented for M. carinatus from Heard and McDonald Islands.</t>
  </si>
  <si>
    <t>Australian Antarctic Div, Channel Highway, Kingston, Tas 7050, Australia</t>
  </si>
  <si>
    <t>van Wijk, EM (corresponding author), Australian Antarctic Div, Channel Highway, Kingston, Tas 7050, Australia.</t>
  </si>
  <si>
    <t>esmee.vanwijk@aad.gov.au</t>
  </si>
  <si>
    <t>WOS:000188512300010</t>
  </si>
  <si>
    <t>Bouvet, V; Ben, RN</t>
  </si>
  <si>
    <t>Antifreeze glycoproteins - Structure, conformation, and biological applications</t>
  </si>
  <si>
    <t>CELL BIOCHEMISTRY AND BIOPHYSICS</t>
  </si>
  <si>
    <t>Review</t>
  </si>
  <si>
    <t>antifreeze glycoproteins; thermal hysteresis; membrane stabilization; vitrification</t>
  </si>
  <si>
    <t>SOLID-PHASE SYNTHESIS; THERMAL HYSTERESIS; MOLECULAR-WEIGHT; MEIOTIC SPINDLE; REPEATING UNIT; ANTARCTIC FISH; POLAR FISH; PROTEINS; ICE; GLYCOPEPTIDE</t>
  </si>
  <si>
    <t>Antifreeze glycoproteins (AFGPs) are a novel class of biologically significant compounds that possess the ability to inhibit the growth of ice both in vitro and in vivo. Any organic compound that possesses the ability to inhibit the growth of ice has many potential medical, industrial, and commercial applications. In an effort to elucidate the molecular mechanism of action, various spectroscopic and physical techniques have been used to investigate the solution conformations of these glycoproteins. This review examines the characterization of AFGPs and potential biological applications relating to stabilization of lipid membranes and vitrification adjuvants.</t>
  </si>
  <si>
    <t>Univ Ottawa, Dept Chem, Ottawa, ON, Canada</t>
  </si>
  <si>
    <t>University of Ottawa</t>
  </si>
  <si>
    <t>Univ Ottawa, Dept Chem, Ottawa, ON, Canada.</t>
  </si>
  <si>
    <t>Robert.Ben@science.uottawaw.ca</t>
  </si>
  <si>
    <t>Ben, Robert/0000-0002-4625-5389</t>
  </si>
  <si>
    <t>HUMANA PRESS INC</t>
  </si>
  <si>
    <t>TOTOWA</t>
  </si>
  <si>
    <t>999 RIVERVIEW DRIVE SUITE 208, TOTOWA, NJ 07512 USA</t>
  </si>
  <si>
    <t>1085-9195</t>
  </si>
  <si>
    <t>1559-0283</t>
  </si>
  <si>
    <t>CELL BIOCHEM BIOPHYS</t>
  </si>
  <si>
    <t>Cell Biochem. Biophys.</t>
  </si>
  <si>
    <t>10.1385/CBB:39:2:133</t>
  </si>
  <si>
    <t>Biochemistry &amp; Molecular Biology; Biophysics; Cell Biology</t>
  </si>
  <si>
    <t>729LF</t>
  </si>
  <si>
    <t>WOS:000185774400004</t>
  </si>
  <si>
    <t>Nyporko, AY; Demchuk, ON; Blume, YB</t>
  </si>
  <si>
    <t>Cold adaptation of plant microtubules:: structural interpretation of primary sequence changes in a highly conserved region of α-tubulin</t>
  </si>
  <si>
    <t>CELL BIOLOGY INTERNATIONAL</t>
  </si>
  <si>
    <t>NATO Advanced Research Workshop on Plant Cytoskeleton - Functional Diversity and Biotechnological Implications</t>
  </si>
  <si>
    <t>SEP 23-27, 2002</t>
  </si>
  <si>
    <t>KIEV, UKRAINE</t>
  </si>
  <si>
    <t>ANTARCTIC FISHES; CYTOSKELETON; RESISTANCE</t>
  </si>
  <si>
    <t>Natl Acad Sci Ukraine, Inst Cell Biol &amp; Genet Engn, UA-03143 Kiev, Ukraine</t>
  </si>
  <si>
    <t>National Academy of Sciences Ukraine; Institute of Cell Biology &amp; Genetic Engineering of the National Academy of Sciences of Ukraine</t>
  </si>
  <si>
    <t>Natl Acad Sci Ukraine, Inst Cell Biol &amp; Genet Engn, Acad Zabolotnogo Str 148, UA-03143 Kiev, Ukraine.</t>
  </si>
  <si>
    <t>dfnalex@univ.kiev.ua</t>
  </si>
  <si>
    <t>Blume, Yaroslav B./JAZ-0649-2023; Blume, Yaroslav B./D-2076-2009; Demchuk, Andrew M/E-1103-2012</t>
  </si>
  <si>
    <t>Blume, Yaroslav B./0000-0001-7078-7548; Blume, Yaroslav B./0000-0001-7078-7548; Nyporko, Alexey/0000-0003-1664-6837</t>
  </si>
  <si>
    <t>WILEY</t>
  </si>
  <si>
    <t>HOBOKEN</t>
  </si>
  <si>
    <t>111 RIVER ST, HOBOKEN 07030-5774, NJ USA</t>
  </si>
  <si>
    <t>1065-6995</t>
  </si>
  <si>
    <t>1095-8355</t>
  </si>
  <si>
    <t>CELL BIOL INT</t>
  </si>
  <si>
    <t>Cell Biol. Int.</t>
  </si>
  <si>
    <t>10.1016/S1065-6995(02)00342-6</t>
  </si>
  <si>
    <t>Cell Biology</t>
  </si>
  <si>
    <t>665MD</t>
  </si>
  <si>
    <t>WOS:000182124000028</t>
  </si>
  <si>
    <t>Squier, AH; Hodgson, DA; Keely, BJ</t>
  </si>
  <si>
    <t>Identification of novel sulfur-containing derivatives of chlorophyll a in a Recent sediment</t>
  </si>
  <si>
    <t>CHEMICAL COMMUNICATIONS</t>
  </si>
  <si>
    <t>DISTRIBUTIONS; RECONSTRUCTION</t>
  </si>
  <si>
    <t>Novel transformation products of chlorophyll a incorporating a methyl sulfide group in the substituent at the C-3 position have been identified in Recent sediments from an Antarctic lake.</t>
  </si>
  <si>
    <t>Univ York, Dept Chem, York YO10 5DD, N Yorkshire, England; British Antarctic Survey, Cambridge CB3 0ET, England</t>
  </si>
  <si>
    <t>University of York - UK; UK Research &amp; Innovation (UKRI); Natural Environment Research Council (NERC); NERC British Antarctic Survey</t>
  </si>
  <si>
    <t>Keely, BJ (corresponding author), Univ York, Dept Chem, York YO10 5DD, N Yorkshire, England.</t>
  </si>
  <si>
    <t>Keely, Brendan John/0000-0002-8560-1862</t>
  </si>
  <si>
    <t>ROYAL SOC CHEMISTRY</t>
  </si>
  <si>
    <t>CAMBRIDGE</t>
  </si>
  <si>
    <t>THOMAS GRAHAM HOUSE, SCIENCE PARK, MILTON RD, CAMBRIDGE CB4 0WF, CAMBS, ENGLAND</t>
  </si>
  <si>
    <t>1359-7345</t>
  </si>
  <si>
    <t>CHEM COMMUN</t>
  </si>
  <si>
    <t>Chem. Commun.</t>
  </si>
  <si>
    <t>10.1039/b212243j</t>
  </si>
  <si>
    <t>Science Citation Index Expanded (SCI-EXPANDED); Index Chemicus (IC)</t>
  </si>
  <si>
    <t>646ZK</t>
  </si>
  <si>
    <t>WOS:000181066600032</t>
  </si>
  <si>
    <t>Stenke, A; Grewe, V</t>
  </si>
  <si>
    <t>Impact of ozone mini-holes on the heterogeneous destruction of stratospheric ozone</t>
  </si>
  <si>
    <t>CHEMOSPHERE</t>
  </si>
  <si>
    <t>ozone mini-hole; climatology; trend; heterogeneous ozone depletion</t>
  </si>
  <si>
    <t>AIRCRAFT NOX EMISSIONS; ATMOSPHERIC CHEMISTRY; MODEL; DEPLETION; TRENDS; SIMULATIONS; SCANDINAVIA; RELEVANCE; AEROSOL; CLOUDS</t>
  </si>
  <si>
    <t>A comprehensive study of ozone mini-holes over the mid-latitudes of both hemispheres is presented, based on model simulations with the coupled climate-chemistry model ECHAM4.L39(DLR)/CHEM representing atmospheric conditions in 1960, 1980, 1990 and 2015. Ozone mini-holes are synoptic-scale regions of strongly reduced total ozone, directly associated with tropospheric weather systems. Mini-holes are supposed to have chemical and dynamical impacts on ozone levels. Since ozone levels over northern mid-latitudes show a negative trend of approximate to-4%/decade and since it exists a negative correlation between total column ozone and erythemally active solar UV-radiation reaching the surface it is important to understand and assess the processes leading to the observed ozone decline. The simulated mini-hole events are validated with a mini-hole climatology based on daily ozone measurements with the TOMS (total ozone mapping spectrometer) instrument on the satellite Nimbus-7 between 1979 and 1993. Furthermore, possible trends in the event frequency and intensity over the simulation period are assessed. In the northern hemisphere the number of mini-hole events in early winter decreases between 1960 and 1990 and increases towards 2015. In the southern hemisphere a positive trend in mini-hole event frequency is detected between 1960 and 2015 in spring associated with the increasing Antarctic Ozone Hole. Finally, the impact of mini-holes on the stratospheric heterogeneous ozone chemistry is investigated. For this purpose, a computer-based detection routine for mini-holes was developed for the use in ECHAM4.L39(DLR)/CHEM. This method prevents polar stratospheric cloud formation and therefore heterogeneous ozone depletion inside mini-holes. Heterogeneous processes inside mini-holes amount to one third of heterogeneous ozone destruction in general over northern mid- and high-latitudes during winter (January-April) in the simulation. (C) 2002 Elsevier Science Ltd. All rights reserved.</t>
  </si>
  <si>
    <t>Deutsches Zentrum Luft &amp; Raumfahrt, DLR, Inst Phys Atmosphare, D-82234 Wessling, Germany</t>
  </si>
  <si>
    <t>Helmholtz Association; German Aerospace Centre (DLR)</t>
  </si>
  <si>
    <t>Deutsches Zentrum Luft &amp; Raumfahrt, DLR, Inst Phys Atmosphare, D-82234 Wessling, Germany.</t>
  </si>
  <si>
    <t>andrea.stenke@dlr.de</t>
  </si>
  <si>
    <t>Stenke, Andrea/GYJ-6299-2022; Grewe, Volker/A-6147-2011; Grewe, Volker/JCE-0830-2023</t>
  </si>
  <si>
    <t>Grewe, Volker/0000-0002-8012-6783; Stenke, Andrea/0000-0002-5916-4013</t>
  </si>
  <si>
    <t>0045-6535</t>
  </si>
  <si>
    <t>1879-1298</t>
  </si>
  <si>
    <t>Chemosphere</t>
  </si>
  <si>
    <t>PII S0045-6535(02)00599-4</t>
  </si>
  <si>
    <t>10.1016/S0045-6535(02)00599-4</t>
  </si>
  <si>
    <t>Environmental Sciences</t>
  </si>
  <si>
    <t>Environmental Sciences &amp; Ecology</t>
  </si>
  <si>
    <t>629XN</t>
  </si>
  <si>
    <t>WOS:000180077900001</t>
  </si>
  <si>
    <t>Pisano, E; Cocca, E; Mazzei, F; Ghigliotti, L; di Prisco, G; Detrich, HW; Ozouf-Costaz, C</t>
  </si>
  <si>
    <t>Mapping of α- and β-globin genes on Antarctic fish chromosomes by fluorescence in-situ hybridization</t>
  </si>
  <si>
    <t>CHROMOSOME RESEARCH</t>
  </si>
  <si>
    <t>fish; globin genes; in-situ hybridization</t>
  </si>
  <si>
    <t>NOTOTHENIA-CORIICEPS; EVOLUTION; ICEFISHES; CLONING; ARRANGEMENT; HEMOGLOBINS; EXPRESSION; REMNANTS; SEQUENCE; LINKAGE</t>
  </si>
  <si>
    <t>The pathways and mechanisms of genomic change that have led to the peculiar haemoglobinless phenotype of the white-blooded Antarctic icefishes (16 species in the family Channichthyidae) constitute an important model for understanding the rapid diversification of the Antarctic notothenioid fish flock. To provide complementary structural information on genomic change at globin-gene loci in Antarctic fish species, cytogenetic studies and in-situ chromosomal mapping have been undertaken. Using a DNA probe containing one alpha- and one beta-globin gene from the embryonic/juvenile globin gene cluster of the red-blooded species Notothenia coriiceps, we mapped the cluster on the chromosomes of Antarctic teleosts by fluorescence in-situ hybridization. As anticipated on the basis of its molecular organization, the cluster was located on a single chromosome pair in all of the red-blooded fish species probed (N. coriiceps, N. angustata, Trematomus hansoni, T. pennellii). In contrast, the alpha/beta-globin probe did not recognize complementary sequences on the chromosomes of the white-blooded species Chionodraco hamatus and Channichthys rhinoceratus. These results represent the first example of chromosomal mapping of embryonic/juvenile globin genes in teleostean fishes. Beyond its relevance to the evolutionary history of Antarctic notothenioids, this work contributes to our understanding of the evolution of the chromosomal loci of globin genes in fishes and other vertebrates.</t>
  </si>
  <si>
    <t>Univ Genoa, Dept Biol, I-16132 Genoa, Italy; CNR, Inst Prot Biochem, I-80125 Naples, Italy; Northeastern Univ, Dept Biol, Boston, MA 02115 USA; Museum Natl Hist Nat, CNRS FR 1541, Serv Systemat Mol, F-75005 Paris, France</t>
  </si>
  <si>
    <t>University of Genoa; Consiglio Nazionale delle Ricerche (CNR); Istituto di Biochimica delle Proteine (IBP-CNR); Northeastern University; Centre National de la Recherche Scientifique (CNRS); Museum National d'Histoire Naturelle (MNHN)</t>
  </si>
  <si>
    <t>Pisano, E (corresponding author), Univ Genoa, Dept Biol, Viale Benedetto 15 5, I-16132 Genoa, Italy.</t>
  </si>
  <si>
    <t>Cocca, Ennio/AAY-3817-2020; Ghigliotti, Laura/J-3076-2012; Ghigliotti, Laura/AAN-6843-2021</t>
  </si>
  <si>
    <t>Cocca, Ennio/0000-0003-2432-9663; Ghigliotti, Laura/0000-0003-2139-1381</t>
  </si>
  <si>
    <t>KLUWER ACADEMIC PUBL</t>
  </si>
  <si>
    <t>DORDRECHT</t>
  </si>
  <si>
    <t>VAN GODEWIJCKSTRAAT 30, 3311 GZ DORDRECHT, NETHERLANDS</t>
  </si>
  <si>
    <t>0967-3849</t>
  </si>
  <si>
    <t>CHROMOSOME RES</t>
  </si>
  <si>
    <t>Chromosome Res.</t>
  </si>
  <si>
    <t>10.1023/A:1024961103663</t>
  </si>
  <si>
    <t>Biochemistry &amp; Molecular Biology; Genetics &amp; Heredity</t>
  </si>
  <si>
    <t>705VW</t>
  </si>
  <si>
    <t>WOS:000184417500009</t>
  </si>
  <si>
    <t>Shin, SI; Liu, Z; Otto-Bliesner, B; Brady, EC; Kutzbach, JE; Harrison, SP</t>
  </si>
  <si>
    <t>A simulation of the last glacial maximum climate using the NCAR-CCSM</t>
  </si>
  <si>
    <t>CLIMATE DYNAMICS</t>
  </si>
  <si>
    <t>SEA-SURFACE TEMPERATURE; GENERAL-CIRCULATION MODEL; NORTH-ATLANTIC OCEAN; PACIFIC-OCEAN; BOUNDARY-CONDITIONS; SYSTEM MODEL; ICE SHEETS; DEEP-SEA; RECONSTRUCTION; VEGETATION</t>
  </si>
  <si>
    <t>The National Center for Atmospheric Research-Community Climate System Model (NCAR-CCSM) is used in a coupled atmosphere-ocean-sea-ice simulation of the Last Glacial Maximum (LGM, around 21,000 years ago) climate. In the tropics, the simulation shows a moderate cooling of 3 degreesC over land and 2 degreesC in the ocean in zonal average. This cooling is about 1 degreesC cooler than the CLIMAP sea surface temperatures (SSTs) but consistent with recent estimates of both land and sea surface temperature changes. Subtropical waters are cooled by 2-2.5 degreesC, also in agreement with recent estimates. The simulated oceanic thermohaline circulation at the LGM is not only shallower but also weaker than the modern with a migration of deep-water formation site in the North Atlantic as suggested by the paleoceanographic evidences. The simulated northward flow of Antarctic Bottom Water (AABW) is enhanced. These deep circulation changes are attributable to the increased surface density flux in the Southern Ocean caused by sea-lee expansion at the LGM. Both the Gulf Stream and the Kuroshio are intensified due to the overall increase of wind stress over the subtropical oceans. The intensified zonal wind stress and southward shift of its maximum in the Southern Ocean effectively enhances the transport of the Antarctic Circumpolar Current (ACC) by more than 50%. Simulated SSTs are lowered by up to 8 degreesC in the midlatitudes. Simulated conditions in the North Atlantic are warmer and with less sea-ice than indicated by CLIMAP again, in agreement with more recent estimates. The increased meridional SST gradient at the LGM results in an enhanced Hadley Circulation and increased midlatitude storm track precipitation. The increased baroclinic storm activity also intensifies the meridional atmospheric heat transport. A sensitivity experiment shows that about half of the simulated tropical cooling at the LGM originates from reduced atmospheric concentrations of greenhouse gases.</t>
  </si>
  <si>
    <t>Univ Wisconsin, Ctr Climat Res, Madison, WI 53706 USA; Univ Wisconsin, Dept Atmospher &amp; Ocean Sci, Madison, WI 53706 USA; Natl Ctr Atmospher Res, Boulder, CO 80307 USA; Max Planck Inst Biogeochem, Jena, Germany</t>
  </si>
  <si>
    <t>University of Wisconsin System; University of Wisconsin Madison; University of Wisconsin System; University of Wisconsin Madison; National Center Atmospheric Research (NCAR) - USA; Max Planck Society</t>
  </si>
  <si>
    <t>Univ Wisconsin, Ctr Climat Res, 1225 W Dayton St, Madison, WI 53706 USA.</t>
  </si>
  <si>
    <t>shin@ocean.meteor.wisc.edu</t>
  </si>
  <si>
    <t>Otto-Bliesner, Bette/AAY-7691-2020</t>
  </si>
  <si>
    <t>Harrison, Sandy/0000-0001-5687-1903</t>
  </si>
  <si>
    <t>SPRINGER</t>
  </si>
  <si>
    <t>ONE NEW YORK PLAZA, SUITE 4600, NEW YORK, NY, UNITED STATES</t>
  </si>
  <si>
    <t>0930-7575</t>
  </si>
  <si>
    <t>1432-0894</t>
  </si>
  <si>
    <t>CLIM DYNAM</t>
  </si>
  <si>
    <t>Clim. Dyn.</t>
  </si>
  <si>
    <t>10.1007/s00382-002-0260-x</t>
  </si>
  <si>
    <t>Meteorology &amp; Atmospheric Sciences</t>
  </si>
  <si>
    <t>642YV</t>
  </si>
  <si>
    <t>WOS:000180835700002</t>
  </si>
  <si>
    <t>Jia, Y</t>
  </si>
  <si>
    <t>Ocean heat transport and its relationship to ocean circulation in the CMIP coupled models</t>
  </si>
  <si>
    <t>ANTARCTIC CIRCUMPOLAR CURRENT; DEPTH-INTEGRATED FLOW; HIGH-RESOLUTION MODEL; GENERAL-CIRCULATION; SOUTH-ATLANTIC; INDONESIAN THROUGHFLOW; NORTH-ATLANTIC; WORLD OCEAN; CLIMATE MODEL; INDIAN-OCEAN</t>
  </si>
  <si>
    <t>The Coupled Model Intercomparison Project was set up to examine climate variability and predictability as simulated by coupled atmosphere-ocean general circulation models, and to evaluate the model results against available observations. This study considers the results from a subproject that concerns the ocean heat transport and its relationship to ocean circulation in these coupled models. In particular, the relative roles of the meridional overturning circulation and horizontal circulation in determining the ocean heat transport are assessed and contrasted between the major ocean basins. Many consistent patterns are found among the models and with observations. A number of discrepancies and uncertainties are also identified. Some of the discrepancies have already been seen in ocean only models, and many of the uncertainties are also present in observational studies. In the Atlantic, the meridional overturning circulation that consists of the southward transport of the North Atlantic Deep Water and the northward transport of the upper layer water masses is captured by all the models, and so is the associated northward heat transport, although quantitatively there are large differences. In all the models, the North Atlantic Deep Water is too warm compared with that derived from direct oceanographic measurements, an indication that high-latitude processes responsible for the production and transport of the North Atlantic Deep Water are not well represented. In the Pacific, most of the models produced the upper layer wind-driven circulation. However, none of the models produced a deep circulation pattern close to that deduced from direct oceanographic measurements and consequently the heat transport exhibits large differences between the models. In the Indian Ocean, all models agree on a southward heat transport resulting from a meridional overturning circulation of warm southward flow of upper layer water and cold northward flow of deep water, but disagree on the magnitude of the heat transport and the strength of the overturning. Observational studies agree and disagree in a similar way. All the models produced poleward heat transport by the horizontal circulation in the subtropical regions of the South Atlantic and the Pacific Ocean basins. In the southern subtropical Indian Ocean a number of the models produced equatorward heat transport by the horizontal circulation, contrary to the common belief of a warm western boundary current. In the North Atlantic, a negligible contribution from the horizontal circulation is expected but several models produced significant equatorward heat transport.</t>
  </si>
  <si>
    <t>Southampton Oceanog Ctr, Southampton SO14 3ZH, Hants, England</t>
  </si>
  <si>
    <t>University of Southampton; NERC National Oceanography Centre</t>
  </si>
  <si>
    <t>Jia, Y (corresponding author), Southampton Oceanog Ctr, European Way, Southampton SO14 3ZH, Hants, England.</t>
  </si>
  <si>
    <t>Yanli.Jia@soc.soton.ac.uk</t>
  </si>
  <si>
    <t>10.1007/s00382-002-0261-9</t>
  </si>
  <si>
    <t>WOS:000180835700003</t>
  </si>
  <si>
    <t>Rohling, EJ; Mayewski, PA; Challenor, P</t>
  </si>
  <si>
    <t>On the timing and mechanism of millennial-scale climate variability during the last glacial cycle</t>
  </si>
  <si>
    <t>DANSGAARD-OESCHGER CYCLES; NORTH-ATLANTIC OCEAN; HIGH-FREQUENCY OSCILLATIONS; CALIFORNIA CURRENT SYSTEM; CHINESE LOESS PLATEAU; SANTA-BARBARA BASIN; PAST 150,000 YEARS; HEINRICH EVENTS; GREENLAND ICE; ATMOSPHERIC CIRCULATION</t>
  </si>
  <si>
    <t>The demonstration that natural climate variability during the last glacial cycle shifted rapidly between remarkable extremes has dramatically revised the understanding of climate change. To further advance our understanding, research continues into the timings, geographic distribution, and nature of the millennial-scale climate extremes, and into the mechanisms for intra- and inter-hemispheric transmission of variability through the climate/ocean system. Complementing the traditional definition of the timings of millennial-scale climate variability from ice-core 6 80 records, we here further narrow down the temporal constraints by determining statistically significant anomalies in the major ion series of the GISP2 ice core. This exercise offers an objective definition of the timing of climatic anomalies in Northern Hemisphere palaeoclimate proxy records of the last 110,000 years that significantly improves the potential for inter-calibration of 'ice-core tuned' chronostratigraphies. We then present a process-oriented synthesis of proxy records from the Northern Hemisphere. This leads to a conclusion that the Dansgaard-Oeschger (D-O) style fluctuations in these records are (virtually) in phase, since all fall within a clear (atmospheric) pattern of concerted relative dominance shifts between polar/westerly dominated winter-type conditions and tropical/monsoon dominated summer-type conditions. Finally, we speculate on a monsoon-related mechanism that could help explain the anomalously long duration of D-O interstadials 12, 8, and 1, which coincided with cooling trends in Antarctic records.</t>
  </si>
  <si>
    <t>Southampton Oceanog Ctr, Southampton SO14 3ZH, Hants, England; Univ Maine, Inst Quaternary &amp; Climate Studies, Orono, ME 04469 USA; Univ Maine, Dept Geol Studies, Orono, ME 04469 USA</t>
  </si>
  <si>
    <t>University of Southampton; NERC National Oceanography Centre; University of Maine System; University of Maine Orono; University of Maine System; University of Maine Orono</t>
  </si>
  <si>
    <t>Rohling, EJ (corresponding author), Southampton Oceanog Ctr, Southampton SO14 3ZH, Hants, England.</t>
  </si>
  <si>
    <t>Mayewski, Paul Andrew/HRD-6969-2023; Rohling, Eelco J/B-9736-2008; Challenor, Peter/M-2579-2016</t>
  </si>
  <si>
    <t>Rohling, Eelco J/0000-0001-5349-2158; Challenor, Peter/0000-0001-8661-2718</t>
  </si>
  <si>
    <t>SPRINGER-VERLAG</t>
  </si>
  <si>
    <t>175 FIFTH AVE, NEW YORK, NY 10010 USA</t>
  </si>
  <si>
    <t>10.1007/s00382-002-0266-4</t>
  </si>
  <si>
    <t>WOS:000180835700010</t>
  </si>
  <si>
    <t>Gerber, S; Joos, F; Brügger, P; Stocker, TF; Mann, ME; Sitch, S; Scholze, M</t>
  </si>
  <si>
    <t>Constraining temperature variations over the last millennium by comparing simulated and observed atmospheric CO2</t>
  </si>
  <si>
    <t>SURFACE AIR-TEMPERATURE; CARBON-CYCLE FEEDBACKS; CLIMATE-CHANGE; TERRESTRIAL BIOSPHERE; SOLAR IRRADIANCE; GLOBAL CLIMATE; MODEL; ICE; CIRCULATION; VARIABILITY</t>
  </si>
  <si>
    <t>The response of atmospheric CO2 and climate to the reconstructed variability in solar irradiance and radiative forcing by volcanoes over the last millennium is examined by applying a coupled physical-biogeochemical climate model that includes the Lund-Potsdam-Jena dynamic global vegetation model (LPJ-DGVM) and a simplified analogue of a coupled atmosphere-ocean general circulation model. The modeled variations of atmospheric CO2 and Northern Hemisphere (NH) mean surface temperature are compatible with reconstructions from different Antarctic ice cores and temperature proxy data. Simulations where the magnitude of solar irradiance changes is increased yield a mismatch between model results and CO2 data, providing evidence for modest changes in solar irradiance and global mean temperatures over the past millennium and arguing against a significant amplification of the response of global or hemispheric annual mean temperature to solar forcing. Linear regression (r = 0.97) between modeled changes in atmospheric CO2 and NH mean surface temperature yields a CO2 increase of about 12 ppm for a temperature increase of 1 degreesC and associated precipitation and cloud cover changes. Then, the CO2 data range of 12 ppm implies that multi-decadal NH temperature changes between 1100 and 1700 AD had to be within 1 degreesC. Modeled preindustrial variations in atmospheric delta(13)C are small compared to the uncertainties in ice core delta(13)C data. Simulations with natural forcings only suggest that atmospheric CO2 would have remained around the preindustrial concentration of 280 ppm without anthropogenic emissions. Sensitivity experiments show that atmospheric CO2 Closely follows decadal-mean temperature changes when changes in ocean circulation and ocean-sediment interactions are not important. The response in terrestrial carbon storage to factorial changes in temperature, the seasonality of temperature, precipitation, and atmospheric CO2 has been determined.</t>
  </si>
  <si>
    <t>Univ Bern, Inst Phys, CH-3012 Bern, Switzerland; Univ Virginia, Dept Environm Sci, Charlottesville, VA 22903 USA; Potsdam Inst Climate Impact Res, Potsdam, Germany; Max Planck Inst Meteorol, Hamburg, Germany</t>
  </si>
  <si>
    <t>University of Bern; University of Virginia; Potsdam Institut fur Klimafolgenforschung; Max Planck Society</t>
  </si>
  <si>
    <t>Univ Bern, Inst Phys, Sidlerstr 5, CH-3012 Bern, Switzerland.</t>
  </si>
  <si>
    <t>joos@climate.unibe.ch</t>
  </si>
  <si>
    <t>Stocker, Thomas F/B-1273-2013; Scholze, Marko/N-4573-2014; Joos, Fortunat/B-4118-2018; Sitch, Stephen A/F-8034-2015; Mann, Michael E/B-8472-2017</t>
  </si>
  <si>
    <t>Scholze, Marko/0000-0002-3474-5938; Joos, Fortunat/0000-0002-9483-6030; Mann, Michael E/0000-0003-3067-296X</t>
  </si>
  <si>
    <t>10.1007/s00382-002-0270-8</t>
  </si>
  <si>
    <t>WOS:000180835700012</t>
  </si>
  <si>
    <t>Cooke, SJ; Grant, EC; Schreer, JF; Philipp, DP; Devries, AL</t>
  </si>
  <si>
    <t>Low temperature cardiac response to exhaustive exercise in fish with different levels of winter quiescence</t>
  </si>
  <si>
    <t>COMPARATIVE BIOCHEMISTRY AND PHYSIOLOGY A-MOLECULAR &amp; INTEGRATIVE PHYSIOLOGY</t>
  </si>
  <si>
    <t>winter; exercise physiology; cardiac output; temperature; interspecific variation; recovery; environment</t>
  </si>
  <si>
    <t>ANTARCTIC FISHES; METABOLIC-RATE; WHITE BASS; PERFORMANCE; LARGEMOUTH; OUTPUT; TROUT; LIMITATIONS; PHYSIOLOGY; PREDICTOR</t>
  </si>
  <si>
    <t>We examined the cardiac responses of different fish species to anaerobic exercise at low temperatures (3 degreesC). Three species of sympatric warmwater fish with perceived differences in winter activity were used for this comparative study: the winter-quiescent largemouth bass (Micropterus salmoides); the winter-active white bass (Morone chrysops); and the intermediately winter-active black crappie (Pomoxis nigromaculatus). Perceived differences in winter activity were reflected in cardiac responses; e.g. basal cardiac values were lowest for largemouth bass, highest for white bass, and intermediate for black crappie. In addition, cardiac recovery was most rapid for white bass, slowest for largemouth bass and intermediate for black crappie. When disturbed at low temperatures, largemouth bass and black crappie elevated cardiac output principally through increases in heart rate despite substantial decreases in stroke volume. Conversely, white bass principally used stroke volume modulation to change cardiac output. The results of this study indicate that different species respond differently to exercise at low temperatures. Management strategies should recognize that such variation exists and ensure that management decisions are based upon an understanding of the low temperature exercise physiology and winter biology of the species of interest. (C) 2002 Elsevier Science Inc. All rights reserved.</t>
  </si>
  <si>
    <t>Univ Illinois, Program Ecol Evolut &amp; Conservat Biol, Dept Nat Resources &amp; Environm Sci, Champaign, IL 61820 USA; Illinois Nat Hist Survey, Ctr Aquat Ecol, Champaign, IL 61820 USA; SUNY Coll Potsdam, Dept Biol, Potsdam, NY 13676 USA; Univ Illinois, Dept Anim Biol, Urbana, IL 61801 USA</t>
  </si>
  <si>
    <t>University of Illinois System; University of Illinois Urbana-Champaign; Illinois Natural History Survey; State University of New York (SUNY) System; University of Illinois System; University of Illinois Urbana-Champaign</t>
  </si>
  <si>
    <t>Univ British Columbia, Dept Forest Sci, Forest Sci Ctr, 3022-2424 Main Hall, Vancouver, BC V6T 1Z4, Canada.</t>
  </si>
  <si>
    <t>Scooke@uiuc.edu</t>
  </si>
  <si>
    <t>Cooke, Steven J/F-4193-2010</t>
  </si>
  <si>
    <t>Cooke, Steven J/0000-0002-5407-0659</t>
  </si>
  <si>
    <t>ELSEVIER SCIENCE INC</t>
  </si>
  <si>
    <t>STE 800, 230 PARK AVE, NEW YORK, NY 10169 USA</t>
  </si>
  <si>
    <t>1095-6433</t>
  </si>
  <si>
    <t>1531-4332</t>
  </si>
  <si>
    <t>COMP BIOCHEM PHYS A</t>
  </si>
  <si>
    <t>Comp. Biochem. Physiol. A-Mol. Integr. Physiol.</t>
  </si>
  <si>
    <t>PII S1095-6433(02)00240-4</t>
  </si>
  <si>
    <t>Biochemistry &amp; Molecular Biology; Physiology; Zoology</t>
  </si>
  <si>
    <t>653LL</t>
  </si>
  <si>
    <t>WOS:000181436600018</t>
  </si>
  <si>
    <t>Heise, K; Puntarulo, S; Pörtner, HO; Abele, D</t>
  </si>
  <si>
    <t>Production of reactive oxygen species by isolated mitochondria of the Antarctic bivalve Laternula elliptica (King and Broderip) under heat stress</t>
  </si>
  <si>
    <t>COMPARATIVE BIOCHEMISTRY AND PHYSIOLOGY C-TOXICOLOGY &amp; PHARMACOLOGY</t>
  </si>
  <si>
    <t>mitochondria; reactive oxygen species; oxidative stress; heat stress; antioxidant; Laternula elliptica; bivalve; Antarctic</t>
  </si>
  <si>
    <t>OXIDATIVE STRESS; METABOLIC-RATE; MYA-ARENARIA; ANTIOXIDANT ENZYMES; HYDROGEN-PEROXIDE; TEMPERATURE; FISH; CLAM; ISLAND; GLAND</t>
  </si>
  <si>
    <t>Formation of reactive oxygen species (ROS) in mitochondrial isolates from gill tissues of the Antarctic polar bivalve Laternula elliptica was measured fluorimetrically under in vitro conditions. When compared to the rates measured at habitat temperature (1 degreesC), significantly elevated ROS formation was found under temperature stress of 7 degreesC and higher. ROS formation correlated significantly with oxygen consumption in individual mitochondrial preparations over the entire range of experimental temperatures (1-12 degreesC). ROS generation per mg of mitochondrial protein was significantly higher in state 3 at maximal respiration and coupling to energy conservation, than in state 4+, where ATPase-activity is inhibited by oligomycin and only proton leakage is driving the residual oxygen consumption. The percent conversion of oxygen to the membrane permeant hydrogen peroxide amounted to 3.7% (state 3) and 6.5% (state 4+) at habitat temperature (1 degreesC), and to 7% (state 3) and 7.6% (state 4+) under experimental warming to 7 degreesC. This is high compared to 1-3% oxygen to ROS conversion in mammalian mitochondrial isolates and speaks for a comparatively low control of toxic oxygen formation in mitochondria of the polar bivalve. However, low metabolic rates at cold Antarctic temperatures keep absolute rates of mitochondrial ROS production low and control oxidative stress at habitat temperatures. Mitochondrial coupling started to fall beyond 3 degreesC, closely to pejus temperature (4 degreesC) of the bivalve. Accordingly, the proportion of state 4 respiration increased from below 30% at 1 degreesC to over 50% of total oxygen consumption at 7 degreesC, entailing reduced ADP/O ratios under experimental warming. Progressive mitochondrial uncoupling and formation of hazardous ROS contribute to bias mitochondrial functioning under temperature stress in vitro. Deduced from a pejus temperature, heat stress commences already at 5 degreesC, and is linked to progressive loss of phosphorylation efficiency, increased mitochondrial oxygen demand and elevated oxidative stress above pejus temperatures. (C) 2002 Elsevier Science Inc. All rights reserved.</t>
  </si>
  <si>
    <t>Alfred Wegener Inst Polar &amp; Marine Res, Dept Marine Ecophysiol &amp; Ecotoxicol, D-27568 Bremerhaven, Germany; Univ Buenos Aires, Sch Pharm &amp; Biochem, Phys Chem PRALIB, Buenos Aires, DF, Argentina</t>
  </si>
  <si>
    <t>Helmholtz Association; Alfred Wegener Institute, Helmholtz Centre for Polar &amp; Marine Research; University of Buenos Aires</t>
  </si>
  <si>
    <t>Alfred Wegener Inst Polar &amp; Marine Res, Dept Marine Ecophysiol &amp; Ecotoxicol, Columbusstr, D-27568 Bremerhaven, Germany.</t>
  </si>
  <si>
    <t>abele@awi-bremerhaven.de</t>
  </si>
  <si>
    <t>Pörtner, Hans-O./ISU-9397-2023; Pörtner, Hans-O./K-9429-2016</t>
  </si>
  <si>
    <t>Pörtner, Hans-O./0000-0001-6535-6575; Abele, Doris/0000-0002-5766-5017</t>
  </si>
  <si>
    <t>1532-0456</t>
  </si>
  <si>
    <t>1878-1659</t>
  </si>
  <si>
    <t>COMP BIOCHEM PHYS C</t>
  </si>
  <si>
    <t>Comp. Biochem. Physiol. C-Toxicol. Pharmacol.</t>
  </si>
  <si>
    <t>PII S1532-0456(02)00212-0</t>
  </si>
  <si>
    <t>10.1016/S1532-0456(02)00212-0</t>
  </si>
  <si>
    <t>Biochemistry &amp; Molecular Biology; Endocrinology &amp; Metabolism; Toxicology; Zoology</t>
  </si>
  <si>
    <t>637ED</t>
  </si>
  <si>
    <t>WOS:000180497900007</t>
  </si>
  <si>
    <t>Lavrenov, IV</t>
  </si>
  <si>
    <t>Sloot, PMA; Abramson, D; Bogdanov, AV; Dongarra, JJ; Zomaya, AY; Gorbachev, YE</t>
  </si>
  <si>
    <t>Optimal numerical realization of the energy balance equation for wind wave models</t>
  </si>
  <si>
    <t>COMPUTATIONAL SCIENCE - ICCS 2003, PT II, PROCEEDINGS</t>
  </si>
  <si>
    <t>LECTURE NOTES IN COMPUTER SCIENCE</t>
  </si>
  <si>
    <t>International Conference on Computational Science (ICCS 2003)</t>
  </si>
  <si>
    <t>JUN 02-04, 2003</t>
  </si>
  <si>
    <t>MELBOURNE, AUSTRALIA</t>
  </si>
  <si>
    <t>The optimal numerical realization of the energy balance equation in wind wave models is proposed. The scheme is separated into two parts: the numerical source term integration and the energy propagation numerical realization. The first one is based on a spreading numerical method. Semi-analytical solution is used for integration of source term, which includes the wind wave input, dissipation term and exact non-linear energy transfer function. The energy propagation numerical realization is based on the utilisation of the diffusive operator, which is implemented in the semi-Lagrangian numerical method. It gives opportunity to remove the garden-sprinkler effect of the energy balance equation solution for the case of wind wave propagation in the ocean. The new technique yields accurate results and has the additional advantage of being numerically stable, thereby allowing the use of a large time step (three hours and more). The method could be regarded as a general alternative for the numerical realization of energy balance equation in the models.</t>
  </si>
  <si>
    <t>State Res Ctr Russian Federat, Arctic &amp; Antarctic Res Inst, St Petersburg, Russia</t>
  </si>
  <si>
    <t>Arctic &amp; Antarctic Research Institute</t>
  </si>
  <si>
    <t>Lavrenov, IV (corresponding author), State Res Ctr Russian Federat, Arctic &amp; Antarctic Res Inst, St Petersburg, Russia.</t>
  </si>
  <si>
    <t>0302-9743</t>
  </si>
  <si>
    <t>3-540-40195-4</t>
  </si>
  <si>
    <t>LECT NOTES COMPUT SC</t>
  </si>
  <si>
    <t>Computer Science, Interdisciplinary Applications; Computer Science, Software Engineering; Computer Science, Theory &amp; Methods</t>
  </si>
  <si>
    <t>Computer Science</t>
  </si>
  <si>
    <t>BX28K</t>
  </si>
  <si>
    <t>WOS:000184831800020</t>
  </si>
  <si>
    <t>Hendrycks, EA; Conlan, KE</t>
  </si>
  <si>
    <t>Monoculodes curtipediculus (Amphipoda, Oedicerotidae), a new species from McMurdo Sound, Antarctica</t>
  </si>
  <si>
    <t>CRUSTACEANA</t>
  </si>
  <si>
    <t>BENTHIC MARINE POLLUTION; POPULATION-STRUCTURE; INVERTEBRATES; STATION; SPONGES</t>
  </si>
  <si>
    <t>A new oedicerotid amphipod, Monoculodes curtipediculus is described from benthic collections taken from sites offshore of the U.S. Antarctic base at McMurdo Station in the Ross Sea. The morphology of the antennae, rostrum, gnathopods, peraeopods 3 and 4, and the uropods are the major characteristics which serve to distinguish the new species from its congeners in the southern hemisphere. The new species is fully illustrated, extensively compared with related species, and a key is given to the five Monoculodes species with shortened carpal lobes on gnathopod 2, recorded from southern hemisphere waters.</t>
  </si>
  <si>
    <t>Canadian Museum Nat, Div Res, Ottawa, ON K1P 6P4, Canada</t>
  </si>
  <si>
    <t>Hendrycks, EA (corresponding author), Canadian Museum Nat, Div Res, POB 3443 Stn D, Ottawa, ON K1P 6P4, Canada.</t>
  </si>
  <si>
    <t>BRILL ACADEMIC PUBLISHERS</t>
  </si>
  <si>
    <t>PLANTIJNSTRAAT 2, P O BOX 9000, 2300 PA LEIDEN, NETHERLANDS</t>
  </si>
  <si>
    <t>0011-216X</t>
  </si>
  <si>
    <t>Crustaceana</t>
  </si>
  <si>
    <t>10.1163/156854003321672827</t>
  </si>
  <si>
    <t>698MK</t>
  </si>
  <si>
    <t>WOS:000184003200005</t>
  </si>
  <si>
    <t>Antonov, RA; Chernikov, SP; Chernov, DV; Finger, M; Finger, M; Korosteleva, EE; Kuzmichev, LA; Maksimuk, OA; Panasyuk, MI; Pereldik, AV; Sysoeva, TI; Sonsky, M; Tkaczyk, W</t>
  </si>
  <si>
    <t>Sphere project</t>
  </si>
  <si>
    <t>CZECHOSLOVAK JOURNAL OF PHYSICS</t>
  </si>
  <si>
    <t>Conference of the Advanced-Study-Institute on Symmetries and Spin</t>
  </si>
  <si>
    <t>JUL 14-28, 2002</t>
  </si>
  <si>
    <t>Prague, CZECH REPUBLIC</t>
  </si>
  <si>
    <t>sphere project; balloon; cosmic ray; hi-energy particles</t>
  </si>
  <si>
    <t>ENERGY-SPECTRUM; COSMIC-RAYS; EAS; PEV</t>
  </si>
  <si>
    <t>Relatively simple detector SPHERE-2 (spherical mirror similar to 1.5 m. diameter and retina of 100 pixels) is presented for the Antarctic balloon-borne measurements of the cosmic ray (CR) spectrum. Long time winter flight makes it possible to measure the spectrum above 10(20)eV. Comparison with satellite and ISS projects of the nearest future shows that the efficiency of this detector is sufficiently high, and the energy threshold is less similar to 10(18) eV). The accuracy of the energy determination: is higher when two methods - the measurement of the extensive air shower (EAS) fluorescent track in the atmosphere and the measurement of the full flux of the EAS Cheienkov light are used in one experiment. Preliminary results of the 2000 year measurements using more simple balloon-borne detector SPHERE-1 are presented Detector-was lifted by fastened balloon above snow field to 1 km altitude. EAS Cherenkov light reflected from the snow was detected. Some indication of spectrum peculiarity near the energy 3-4 x 10(16) eV was obtained. The first attempt to estimate the Cheren.kov light lateral distribution means of this new method has been made.</t>
  </si>
  <si>
    <t>Moscow MV Lomonosov State Univ, Skobeltsyn Inst Nucl Phys, Moscow 117234, Russia; Russian Acad Sci, PN Lebedev Phys Inst, Moscow 117901, Russia; Joint Inst Nucl Res, Dzhelepov Lab Nucl Problems, Dubna 141980, Russia; Charles Univ, Fac Math &amp; Phys, CR-18000 Prague, Czech Republic; COMPAS Consortium, Turnov, Czech Republic; Univ Lodz, Dept Expt Phys, PL-90131 Lodz, Poland</t>
  </si>
  <si>
    <t>Lomonosov Moscow State University; Russian Academy of Sciences; Russian Academy of Science Lebedev Physical Institute; Joint Institute for Nuclear Research - Russia; Charles University Prague; University of Lodz</t>
  </si>
  <si>
    <t>Moscow MV Lomonosov State Univ, Skobeltsyn Inst Nucl Phys, Moscow 117234, Russia.</t>
  </si>
  <si>
    <t>chr@dec1.sinp.msu.ru; Michael.Finger@cern.ch; Finger@mbox.troja.miff.cuni.cz</t>
  </si>
  <si>
    <t>Chernov, Dmitry/E-1989-2012; Chernov, Dmitry/AAZ-1121-2021; Podgrudkov, Dmitriy/E-2115-2012; Antonov, Rem/H-4286-2013; Panasyuk, Mikhail I./E-2005-2012</t>
  </si>
  <si>
    <t>Chernov, Dmitry/0000-0001-5093-9970; Chernov, Dmitry/0000-0001-5093-9970; Podgrudkov, Dmitriy/0000-0002-0773-8185;</t>
  </si>
  <si>
    <t>INST PHYSICS ACAD SCI CZECH REPUBLIC</t>
  </si>
  <si>
    <t>PRAGUE</t>
  </si>
  <si>
    <t>NA SLOVANCE 2, PRAGUE 182 21, CZECH REPUBLIC</t>
  </si>
  <si>
    <t>0011-4626</t>
  </si>
  <si>
    <t>CZECH J PHYS</t>
  </si>
  <si>
    <t>Czech. J. Phys.</t>
  </si>
  <si>
    <t>B</t>
  </si>
  <si>
    <t>B455</t>
  </si>
  <si>
    <t>B463</t>
  </si>
  <si>
    <t>Physics, Multidisciplinary</t>
  </si>
  <si>
    <t>Physics</t>
  </si>
  <si>
    <t>778RW</t>
  </si>
  <si>
    <t>WOS:000189255400048</t>
  </si>
  <si>
    <t>Asper, VL; Smith, WO</t>
  </si>
  <si>
    <t>Abundance, distribution and sinking rates of aggregates in the Ross Sea, Antarctica</t>
  </si>
  <si>
    <t>DEEP-SEA RESEARCH PART I-OCEANOGRAPHIC RESEARCH PAPERS</t>
  </si>
  <si>
    <t>aggregates; aggregation; Antarctic zone; phytoplankton; Phaeocystis; Ross Sea</t>
  </si>
  <si>
    <t>MARINE SNOW; PARTICLE FLUXES; PHYTOPLANKTON BIOMASS; VERTICAL FLUX; MONTEREY BAY; MIXED-LAYER; COAGULATION; PHAEOCYSTIS; DYNAMICS; BLOOM</t>
  </si>
  <si>
    <t>The vertical distribution and temporal changes in aggregate abundance and sizes were measured in the Ross Sea, Antarctica, during two field seasons, one in austral spring 1994 and one in early summer, 1995/96. Aggregate abundance, size and potential sinking rates were determined by photographic techniques. Measurements of water column parameters, including particulate organic carbon concentrations, were assessed simultaneously, as was the flux of organic matter with floating sediment traps. The numbers of aggregates (and to a lesser extent their size) increased with time, although there was substantial spatial variability in these variables at any point in time. Some aggregates appeared to sink extremely rapidly, and for these, our photographic measurements were able to estimate only a minimum sinking rate, which equaled 288 m d(-1). Estimates of aggregate organic carbon flux were compared to those determined by floating sediment traps. From these results, aggregate fluxes appear to have dominated the vertical export of organic matter from the euphotic zone. The genesis and flux of aggregates in the Ross Sea are the critical processes controlling the export of biogenic material from the surface layer. (C) 2003 Elsevier Science Ltd. All rights reserved.</t>
  </si>
  <si>
    <t>Univ So Mississippi, Coll Marine Sci, Stennis Space Ctr, MS 39529 USA; Coll William &amp; Mary, Virginia Inst Marine Sci, Gloucester Point, VA 23062 USA</t>
  </si>
  <si>
    <t>University of Southern Mississippi; William &amp; Mary; Virginia Institute of Marine Science</t>
  </si>
  <si>
    <t>Univ So Mississippi, Coll Marine Sci, Stennis Space Ctr, MS 39529 USA.</t>
  </si>
  <si>
    <t>vernon.asper@usm.edu</t>
  </si>
  <si>
    <t>0967-0637</t>
  </si>
  <si>
    <t>1879-0119</t>
  </si>
  <si>
    <t>DEEP-SEA RES PT I</t>
  </si>
  <si>
    <t>Deep-Sea Res. Part I-Oceanogr. Res. Pap.</t>
  </si>
  <si>
    <t>10.1016/S0967-0637(02)00146-2</t>
  </si>
  <si>
    <t>Oceanography</t>
  </si>
  <si>
    <t>767NT</t>
  </si>
  <si>
    <t>WOS:000188457900007</t>
  </si>
  <si>
    <t>You, Y; Lutjeharms, JRE; Boebel, O; de Ruijter, WPM</t>
  </si>
  <si>
    <t>Quantification of the interocean exchange of intermediate water masses around southern Africa</t>
  </si>
  <si>
    <t>DEEP-SEA RESEARCH PART II-TOPICAL STUDIES IN OCEANOGRAPHY</t>
  </si>
  <si>
    <t>INDIAN-OCEAN; THERMOCLINE CIRCULATION; FLOW PATTERNS; ATLANTIC; VENTILATION; DEEP; DYNAMICS; SECTION; RENEWAL; ORIGINS</t>
  </si>
  <si>
    <t>A large collection of historic and recent hydrographic data has been used in a water-mass mixing model to quantify the remote sources of intermediate water that pass through the region around southern Africa. Special emphasis has been given to deriving the fractional transports of water with Indian Ocean origins that enter the South Atlantic and that thus contribute to the overturning circulation of the Atlantic. The model includes five remote sources: Antarctic Intermediate Water (AAIW) from the Drake Passage (dAAIW), a component of AAIW from the South Indian Ocean (siAAIW), intermediate water from the Indonesian Seas (IIW) and from the Red Sea (RSIW), and a transformed end member of the mixture of these sources (aAAIW). The study is performed on five neutral density surfaces chosen to follow the core of AAIW and to span the AAIW layer, encompassing a depth range between about 700 and 1200 m. To resolve the mixing of water masses from the five remote sources, the six physical-chemical tracers, potential temperature, salinity, dissolved oxygen, silicate, initial phosphate, nitrate (NO) and potential vorticity, have been used as input information. The model-derived mixing fraction gives a quantitative description of the remote sources when they are mapped onto neutral density surfaces. Results show that dAAIW is a dominant source, with a large proportion of its water extending to the southwestern Indian Ocean in a continuous distribution, while the Indian Ocean sources spread to the southeastern South Atlantic mostly in a patchy distribution. Given the mixing fractions, the geostrophic velocity fields and the RAFOS velocity fields, the volume transport can be separated into individual contributions from each source. It is found that dAAIW provides most of the transport (63% or 1.9 Sv, 1 Sv = 10(6) m(3) s(-1)) crossing the 25degreesS section (10degreesW-14degreesE). The rest of the equatorward transport is contributed by siAAIW (16% or 0.5 Sv), by IIW (10% or 0.3 Sv) and by RSIW (12% or 0.4 Sv), respectively. The net eastward transport of dAAIW passing south of Africa into the Indian Ocean is estimated to be 13.5 Sv at 20degreesE (50degreesS-36degreesS). Its westward return transport from the Indian Ocean is 2.1 Sv, amounting to about one-seventh of its total transport into the Indian Ocean. The Benguela Current transport from RAFOS observations for the AAIW layer at 6degreesW (34degreesS-22degreesS) is 12.9 Sv westward. Of this 80% is contributed by dAAIW, 11% by siAAIW, 3% by IIW, and 6% by RSIW, respectively. This means that of the 12.9 Sv Benguela Current transport, 10.3 Sv is contributed by dAAIW alone, which is composed of 8.8 Sv directly fed from the South Atlantic and 1.5 Sv returned after a loop in the Indian Ocean. Due to a weak baroclinic shear the corresponding geostrophic transport is 6.5 Sv westward, only half of the RAFOS transport. Of this 80% is contributed by dAAIW, 15% by siAAIW, 2% by IIW and 3% by RSIW. (C) 2002 Elsevier Science Ltd. All rights reserved.</t>
  </si>
  <si>
    <t>Univ Cape Town, Dept Oceanog, ZA-7701 Rondebosch, South Africa; Univ Rhode Isl, Grad Sch Oceanog, Narragansett, RI 02882 USA; Univ Utrecht, Inst Marine &amp; Atmospher Res, NL-3508 TA Utrecht, Netherlands; Univ Sydney, Inst Marine Sci, Sydney, NSW 2006, Australia</t>
  </si>
  <si>
    <t>University of Cape Town; University of Rhode Island; Utrecht University; University of Sydney</t>
  </si>
  <si>
    <t>Univ New S Wales, Sch Math, Ctr Environm Modelling &amp; Predict, Sydney, NSW 2052, Australia.</t>
  </si>
  <si>
    <t>you@maths.unsw.edu.au</t>
  </si>
  <si>
    <t>de Ruijter, Wilhelmus/I-2541-2016</t>
  </si>
  <si>
    <t>0967-0645</t>
  </si>
  <si>
    <t>1879-0100</t>
  </si>
  <si>
    <t>DEEP-SEA RES PT II</t>
  </si>
  <si>
    <t>Deep-Sea Res. Part II-Top. Stud. Oceanogr.</t>
  </si>
  <si>
    <t>PII S0967-0645(02)00384-3</t>
  </si>
  <si>
    <t>10.1016/S0967-0645(02)00384-3</t>
  </si>
  <si>
    <t>630GH</t>
  </si>
  <si>
    <t>WOS:000180098800009</t>
  </si>
  <si>
    <t>Hiscock, MR; Marra, J; Smith, WO; Goericke, R; Measures, C; Vink, S; Olson, RJ; Sosik, HM; Barber, RT</t>
  </si>
  <si>
    <t>Primary productivity and its regulation in the Pacific Sector of the Southern Ocean</t>
  </si>
  <si>
    <t>ANTARCTIC CIRCUMPOLAR CURRENT; ATMOSPHERIC CARBON-DIOXIDE; EQUATORIAL PACIFIC; IRON FERTILIZATION; LATE SUMMER; ICE-EDGE; PHYTOPLANKTON BLOOM; CO2 VARIATIONS; WATER MASSES; GLACIAL CO2</t>
  </si>
  <si>
    <t>We measured primary productivity in the Pacific Sector of the Southern Ocean as part of the Joint Global Ocean Flux Study. We collected data along 170degrees W from 54 degreesS to 72 degreesS on four cruises during the austral growing season of 1997-1998. The cruises crossed the Subantarctic Front, the Antarctic Polar Front (APF), the Southern Antarctic Circumpolar Current (ACC) Front, and the Southern Boundary of the ACC. Primary productivity and chlorophyll a increased rapidly in spring, peaked in summer, and decreased rapidly in fall, following the seasonal pattern of irradiance. In early spring (October), primary productivity was 20 mmol C m(-2) d(-1) and increased to 54 mmol C m(-2) d(-1) within 3 weeks. During peak irradiance (December), productivity reached its maximum throughout the study area with values ranging from 33 to 93 mmol C m(-2) d(-1) depending on station location. By February, average productivity dropped to 20+/-1 mmol C m(-2) d(-1), and individual station values reached a minimum of 13 mmol C m(-2) d(-1). In early spring, chlorophyll was less than 0.5 mg Chl m(-3) throughout the study area. In late spring and early summer, chlorophyll values were between 0.15 and 1.5 mg Chl m(-3) depending on station location. By late summer, chlorophyll decreased to less than 0.3 mg Chl m(-3) across the study region. Highest absolute values of productivity and biomass occurred near the southward-propagating Si gradient (DeltaSi(max)). A spatial gradient in photosynthetic performance correlated with DeltaSi(max): photosynthetic performance was elevated in low silicic acid waters (less than 10 muM) to the north of DeltaSi(max) and was depressed in high silicic acid waters (greater than 30 muM) to the south of DeltaSi(max) Photosynthetic performance also was correlated with iron-enrichment response: when photosynthetic performance was low, iron-enrichment response was high, and when photosynthetic performance was high, iron-enrichment response was low. These results suggest that phytoplankton were iron sufficient north of DeltaSi(max) and iron limited south of DeltaSi(max). We argue that the southward-traveling DeltaSi(max), the APF, and the location of upwelling, iron-rich Upper Circumpolar Deep Water (UCDW) define three regions with differing iron sufficiency. Furthermore, we suggest that a winter recharge of upwelled, iron-rich UCDW within the Antarctic and Southern ACC Zones provides enough iron to support a diatom bloom that annually propagates poleward across the Antarctic and Southern ACC Zones to the Southern Boundary of the ACC, where the absence of UCDW prevents the bloom's progression into the Subpolar Regime. (C) 2003 Elsevier Science Ltd. All rights reserved.</t>
  </si>
  <si>
    <t>Duke Univ, Nicholas Sch Environm &amp; Earth Sci, Beaufort, NC 28516 USA; Columbia Univ, Lamont Doherty Earth Observ, Palisades, NY 10964 USA; Virginia Inst Marine Sci, Coll William &amp; Mary, Gloucester Point, VA 23062 USA; Scripps Inst Oceanog, La Jolla, CA 92093 USA; Univ Hawaii, Honolulu, HI 96822 USA; Woods Hole Oceanog Inst, Woods Hole, MA 02453 USA</t>
  </si>
  <si>
    <t>Duke University; Columbia University; William &amp; Mary; Virginia Institute of Marine Science; University of California System; University of California San Diego; Scripps Institution of Oceanography; University of Hawaii System; Woods Hole Oceanographic Institution</t>
  </si>
  <si>
    <t>Hiscock, MR (corresponding author), Duke Univ, Nicholas Sch Environm &amp; Earth Sci, 135 Duke Marine Lab Rd, Beaufort, NC 28516 USA.</t>
  </si>
  <si>
    <t>Vink, Sue/J-7938-2012</t>
  </si>
  <si>
    <t>Vink, Sue/0000-0002-0303-7699; Sosik, Heidi/0000-0002-4591-2842</t>
  </si>
  <si>
    <t>3-4</t>
  </si>
  <si>
    <t>10.1016/S0967-0645(02)00583-0</t>
  </si>
  <si>
    <t>662AG</t>
  </si>
  <si>
    <t>WOS:000181922700002</t>
  </si>
  <si>
    <t>Vaillancourt, RD; Marra, J; Barber, RT; Smith, WO</t>
  </si>
  <si>
    <t>Primary productivity and in situ quantum yields in the Ross Sea and Pacific Sector of the Antarctic Circumpolar Current</t>
  </si>
  <si>
    <t>POLAR FRONTAL ZONE; PHAEOCYSTIS-ANTARCTICA; DIADINOXANTHIN CYCLE; MARINE-PHYTOPLANKTON; CHEMICAL-COMPOSITION; IRON LIMITATION; PHOTOSYNTHESIS; NITROGEN; GROWTH; ABSORPTION</t>
  </si>
  <si>
    <t>We determined the in situ primary productivity, particle absorption, pigment concentrations, and photosynthetic quantum yields during two Southern Ocean cruises in 1997 and 1998 in the Pacific sector of the Antarctic Circumpolar Current (ACC), and in the Ross Sea. Integrated primary productivity in the Ross Sea during the austral summer averaged 762 mg Cm-2 d(-1) (range: 413-1200 mg Cm-2 d(-1)), and mean integrated chlorophyll a levels were 80.6 mg m(-2) (range: 47.8-155 mg m(-2)). The mean (+/-standard deviation) quantum yield was 0.09 (+/-43%)mol C Ein(-1) during summer in the Ross Sea. Less than 2% of the depth variability in quantum yield in the Ross Sea was attributable to light absorption by photoprotective pigments. There was an inverse relationship found between the value of the in situ maximum quantum yield (phi[max]) and the ratio of particulate organic carbon to nitrogen (POC:PON), indicating that variations in quantum yields were controlled largely by nutrient availability. POC:PON ratios near Redfield ratio of 6.6 were found to have in situ phi(max) values near the theoretical maximum of 0.12 mol C Ein(-1). POC-to-particulate iron values were also found to have been lower in high phi(max) regions. Integrated primary productivities and chlorophyll a levels in the ACC during the early summer were similar to those in the Ross Sea. The mean integrated primary productivity was 734 mg C m(-2) d(-1) (range: 606-839 mg Cm-2 d(-1)), and the mean integrated chlorophyll equaled 56.2 mg m(-2) (range: 33.3-71.9 mg m(-2)). The mean (+/-standard deviation) quantum yield was 0.04 (+/-28%) mol CEin(-1) and was less than the mean value measured for the Ross Sea. As in the Ross Sea, light absorption by photoprotective pigments was responsible for &lt;2% of the variability in quantum yield. There was no discernable relationship found between in situ phi(max) and elemental ratios of the particulates, although the sample size for the ACC was smaller (n = 4) compared to the Ross Sea (n = 10). Overall, the phytoplankton of the ACC required higher irradiance than the phytoplankton of the Ross Sea to saturate photochemistry. (C) 2003 Elsevier Science Ltd. All rights reserved.</t>
  </si>
  <si>
    <t>Columbia Univ, Lamont Doherty Earth Observ, Palisades, NY 10964 USA; Duke Univ, Marine Lab, Beaufort, NC 28516 USA; Virginia Inst Marine Sci, Gloucester Point, VA 23062 USA</t>
  </si>
  <si>
    <t>Columbia University; Duke University; William &amp; Mary; Virginia Institute of Marine Science</t>
  </si>
  <si>
    <t>Columbia Univ, Lamont Doherty Earth Observ, Palisades, NY 10964 USA.</t>
  </si>
  <si>
    <t>vaillanc@ideo.columbia.edu</t>
  </si>
  <si>
    <t>Vaillancourt, Robert/0000-0003-1008-2380</t>
  </si>
  <si>
    <t>PII S0967-0645(02)00584-2</t>
  </si>
  <si>
    <t>10.1016/S0967-0645(02)00584-2</t>
  </si>
  <si>
    <t>WOS:000181922700003</t>
  </si>
  <si>
    <t>Buesseler, KO; Barber, RT; Dickson, ML; Hiscock, MR; Moore, JK; Sambrotto, R</t>
  </si>
  <si>
    <t>The effect of marginal ice-edge dynamics on production and export in the Southern Ocean along 170°W</t>
  </si>
  <si>
    <t>ANTARCTIC POLAR FRONT; ORGANIC-CARBON; BIOGENIC SILICA; PACIFIC SECTOR; ROSS SEA; NITROGEN-PRODUCTION; ATMOSPHERIC CO2; IRON LIMITATION; PHYTOPLANKTON; FLUXES</t>
  </si>
  <si>
    <t>We present a synthesis of the rates of gross, new, net and primary production along with particulate organic carbon (POC) flux at 100 m from four cruises along 170degreesW in the Southern Ocean. Concurrent satellite pigment data, a primary productivity model, and a nitrate mass balance are used to extrapolate daily production estimates in space and time to seasonal and annual rates. From this analysis, we gain a better understanding of the timing, magnitude and impact of the phytoplankton blooms in this region. One of the dominant features with respect to plankton biomass is the association of high chlorophyll levels with the retreat of the sea ice which begins in October just south of the Polar Front. Our primary production model and satellite pigment data suggest higher production and flux levels characterize the marginal ice zone than previous estimates. Elevated rates of new production in ice impacted regions are restricted to relatively short periods following retreat of the ice edge. Export is found to lag the onset of production by up to 1 month. The ratio of POC flux at 100 m to primary production when averaged over the entire season is quite high, increasing from 15% to 25% in the Subantarctic zones to 35-40% near the Polar Front and as high as 50-65% in the southernmost stations, just north of the Ross Sea gyre. Comparisons of phytoplankton community structure and Fe stress indicators suggest that blooms at the Polar Front are initially dominated by large centric diatoms, but are replaced by smaller pennate diatom and non-diatom species as Fe levels decrease. Further south, where Fe levels are never as high and large diatoms are not found, we still observe relatively high biomass and elevated production rates and POC fluxes during the short growing season. (C) 2003 Elsevier Science Ltd. All rights reserved.</t>
  </si>
  <si>
    <t>Woods Hole Oceanog Inst, Dept Marine Chem &amp; Geochem, Woods Hole, MA 02543 USA; Duke Univ, Nicholas Sch Environm &amp; Earth Sci, Beaufort, NC 28516 USA; Univ Rhode Isl, Grad Sch Oceanog, Narragansett, RI 02882 USA; Natl Ctr Atmospher Res, Boulder, CO 80307 USA; Columbia Univ, Lamont Doherty Earth Observ, Palisades, NY 10964 USA</t>
  </si>
  <si>
    <t>Woods Hole Oceanographic Institution; Duke University; University of Rhode Island; National Center Atmospheric Research (NCAR) - USA; Columbia University</t>
  </si>
  <si>
    <t>Woods Hole Oceanog Inst, Dept Marine Chem &amp; Geochem, Woods Hole, MA 02543 USA.</t>
  </si>
  <si>
    <t>kbuesseler@whoi.edu</t>
  </si>
  <si>
    <t>10.1016/S0967-0645(02)00585-4</t>
  </si>
  <si>
    <t>WOS:000181922700004</t>
  </si>
  <si>
    <t>Brzezinski, MA; Dickson, ML; Nelson, DM; Sambrotto, R</t>
  </si>
  <si>
    <t>Ratios of Si, C and N uptake by microplankton in the Southern Ocean</t>
  </si>
  <si>
    <t>ANTARCTIC POLAR FRONT; LIMITS PHYTOPLANKTON GROWTH; PACIFIC SECTOR; SILICA PRODUCTION; BIOGENIC SILICA; ORGANIC-CARBON; IRON; DEFICIENCY; DYNAMICS; NITROGEN</t>
  </si>
  <si>
    <t>Nutrient uptake ratios and the Si:C:N composition ratios of particulate matter were measured within a diatom bloom located between the Antarctic Polar Front and the edge of the receding pack ice in the Pacific sector of the Southern Ocean along 170degreesW from 2 December 1997 to 3 January 1998. Rates of silicic acid, nitrate, ammonium and urea uptake were measured along with simultaneous estimates of net and gross carbon uptake derived from net oxygen production and 180 gross production rates. Concurrent measures of silica dissolution rates allowed net silicic acid uptake to be estimated. Comparison of integrated rates of gross silicic acid uptake, gross carbon uptake, and total nitrogen (nitrate+ammonium+urea) uptake revealed that gross uptake ratios within the bloom closely matched Redfield proportions. The mole ratio of gross Si uptake to total N uptake averaged 0.96+/-0.08, indistinguishable from the mean value of 0.90 characteristic of nutrient-replete diatoms in culture. The mean gross Si uptake: gross C mole uptake ratio, 0.20+/-0.02, was 50% higher than the typical diatom Si:C ratio of 0.13. Gross C:total N uptake mole ratios averaged 5.2+/-0.4, reasonably close to the Redfield value of 6.6. In contrast, average net uptake ratios were significantly higher than Redfield (C:NO3- =9.1+/-1.5, Si:C=0.52+/-0.12, Si:NO3- =3.7+/-0.4) and exceeded their corresponding gross uptake ratios by 180-380%. On average, net uptake was somewhat enriched in C, and greatly enriched in Si, over gross uptake; ratios of net uptake exceeded corresponding Redfield (C:N) or typical diatom (Si:C, Si:N) ratios by 38% for C:N, by a factor of 4.0 for Si:C and by a factor of 4.1 for Si:N. Thus, there was a transition from the plankton taking up nutrients in nearly Redfield proportions, to particles becoming slightly enriched in C over N and highly enriched in silica relative to organic matter through the combined effects of metabolic losses and food web processes. These results point to the operation of an efficient silicate pump that enriches particles in silica relative to organic matter prior to their export. We hypothesize that low [Fe] accentuated the decoupling between the cycling of silica and organic matter in the bloom. The average [Fe] in the mixed layer (0.13-0.29 nM) falls in a range that has been shown experimentally to dramatically increase Si(OH)(4):NO3- uptake ratios by plankton assemblages in our study area. That result, together with the observation that gross uptake ratios of Si(OH)(4) to total N were nearly in Redfield proportions, suggests that the main effect of low [Fe] was to increase reliance on regenerated nitrogen sources by inhibiting nitrate uptake. More efficient recycling of particulate nitrogen in surface waters compared to biogenic silica led to the selective depletion of silicic acid over nitrate, creating a positive feedback between [Fe] and the silicate pump, where low [Fe] accelerates the onset of Si limitation and diminishes the export of organic matter relative to silica. (C) 2002 Elsevier Science Ltd. All rights reserved.</t>
  </si>
  <si>
    <t>Univ Calif Santa Barbara, Dept Ecol Evolut &amp; Marine Biol, Santa Barbara, CA 93106 USA; Univ Calif Santa Barbara, Inst Marine Sci, Santa Barbara, CA 93106 USA; Univ Rhode Isl, Grad Sch Oceanog, Narragansett, RI 02882 USA; Oregon State Univ, Coll Ocean &amp; Atmospher Sci, Corvallis, OR 97331 USA; Columbia Univ, Lamont Doherty Earth Observ, Palisades, NY 10964 USA</t>
  </si>
  <si>
    <t>University of California System; University of California Santa Barbara; University of California System; University of California Santa Barbara; University of Rhode Island; Oregon State University; Columbia University</t>
  </si>
  <si>
    <t>Univ Calif Santa Barbara, Dept Ecol Evolut &amp; Marine Biol, Santa Barbara, CA 93106 USA.</t>
  </si>
  <si>
    <t>brzezins@lifesci.ucsb.edu</t>
  </si>
  <si>
    <t>PII S0967-0645(02)00587-8</t>
  </si>
  <si>
    <t>10.1016/S0967-0645(02)00587-8</t>
  </si>
  <si>
    <t>WOS:000181922700006</t>
  </si>
  <si>
    <t>Coale, KH; Wang, XJ; Tanner, SJ; Johnson, KS</t>
  </si>
  <si>
    <t>Phytoplankton growth and biological response to iron and zinc addition in the Ross Sea and Antarctic Circumpolar Current along 170°W</t>
  </si>
  <si>
    <t>SOUTHERN-OCEAN; EQUATORIAL PACIFIC; NORTH PACIFIC; LIMITATION; BIOMASS; PRODUCTIVITY; PHAEOCYSTIS; ENRICHMENT; MANGANESE; NUTRIENT</t>
  </si>
  <si>
    <t>Deckboard enrichment experiments were conducted during the US JGOFS Antarctic Environment Southern Ocean Process Study to determine the community response to added iron and zinc and their effect on phytoplankton growth. Seawater was collected into acid-cleaned 20-1 polycarbonate carboys and incubated with varying additions of iron and zinc. Cells representing individual taxa were counted before and after incubation. Chlorophyll a, particulate organic carbon, and particulate organic nitrogen were measured periodically throughout the experiments. Zinc is not a limiting factor on phytoplankton growth in both the Ross Sea and the Antarctic Circumpolar Current (ACC). The Ross Sea is less iron-stressed than the ACC, in particular at the southern site. However, iron addition largely increased phytoplankton growth and chlorophyll a in both regions. Community growth showed a stronger response to iron addition in high-silicate water than in low-silicate water. Dinoflagellates had the lowest abundance in both natural and iron-enriched seawaters. Prymnesiophytes and pennate diatoms were most sensitive to iron enrichment and were responsible for the bulk of the growth signal. In the high-silicate water of the ACC, Phaeocystis showed the strongest response to iron addition, increasing its abundance from &lt;5% in natural seawater to similar to20% in 2.5 nM Fe-enriched water. Its maximum growth rate was 0.57 day(-1) and the half-saturation constant was 0.27 nM, which were higher than most of the diatoms (0.2-0.4 day(-1) and 0.05-0.13 nM, respectively). (C) 2002 Elsevier Science Ltd. All rights reserved.</t>
  </si>
  <si>
    <t>Calif State Univ, Moss Landing Marine Labs, Moss Landing, CA 95039 USA; Monterey Bay Aquarium Res Inst, Moss Landing, CA 95039 USA</t>
  </si>
  <si>
    <t>Moss Landing Marine Laboratories; Monterey Bay Aquarium Research Institute</t>
  </si>
  <si>
    <t>Wang, XJ (corresponding author), Calif State Univ, Moss Landing Marine Labs, 8272 Moss Landing Rd, Moss Landing, CA 95039 USA.</t>
  </si>
  <si>
    <t>Wang, Xiujun/F-2641-2010; Johnson, Kenneth/F-9742-2011</t>
  </si>
  <si>
    <t>Wang, Xiujun/0000-0002-2859-8011; Johnson, Kenneth/0000-0001-5513-5584</t>
  </si>
  <si>
    <t>PII S0967-0645(02)00588-X</t>
  </si>
  <si>
    <t>10.1016/S0967-0645(02)00588-X</t>
  </si>
  <si>
    <t>WOS:000181922700007</t>
  </si>
  <si>
    <t>Gardner, WD; Richardson, MJ; Carlson, CA; Hansell, D; Mishonov, AV</t>
  </si>
  <si>
    <t>Determining true particulate organic carbon: bottles, pumps and methodologies</t>
  </si>
  <si>
    <t>UPPER OCEAN EXPORT; ROSS SEA; GLASS-FIBER; TEMPORAL VARIABILITY; ISOTOPIC COMPOSITION; WATER COLUMN; PARTICLES; NITROGEN; MATTER; TH-234</t>
  </si>
  <si>
    <t>The primary means of determining particulate organic carbon (POC) concentrations in aquatic environments is by filtering from water bottles or by in situ filtration with pumps and analyzing the filters. The concentrations measured by these two methods, however, can differ by a factor of 1.2-5 in temperate waters, and by factors as large as 200 in cold, high-latitude waters. Here we report that the ratio of bottle POC to pump POC ranged between 20 and 200 in the Ross Sea during early spring and between 5 and 50 during summer. In the Antarctic Polar Front the ratio ranged between 2 and 25 in spring. A new approach to constraining POC concentrations is to use high-temperature combustion (HTC) of water samples (rather than filters), POC being the difference between measurements of total and dissolved organic carbon. POC concentrations determined by bottle filtration are in reasonable agreement with the POC concentrations obtained by HTC, independent biomass measurements, and beam-attenuation/bottle POC ratios that are similar to previous studies, thus lending credibility to the bottle POC values. Data from several studies suggest that the most likely reasons for differences between bottle and pump POC are the use of slightly larger pore-size filters with in situ pumps and higher pressure differentials across the filter during in situ pump filtration, resulting in particulate carbon being pulled through the filters. The one-to-two orders of magnitude differences in high-latitude, cold-water environments needs further investigation. If accurate measurements of POC can be obtained for calibration, beam attenuation profiles using transmissometers offer a way to quantify rapidly the distribution of POC. The JGOFS protocols for POC filtration must be modified to include a blank that accounts for DOC adsorption onto filters. The largest impact of DOC adsorption will be when POC concentrations are below similar to 2 mumol/l, which includes most sub-euphotic zone waters. These findings have important ramifications for any programs involving the particulate portion of the carbon cycle. (C) 2002 Elsevier Science Ltd. All rights reserved.</t>
  </si>
  <si>
    <t>Texas A&amp;M Univ, Dept Oceanog, College Stn, TX 77843 USA; Univ Calif Santa Barbara, Santa Barbara, CA 93106 USA; Rosenstiel Sch Marine &amp; Atmospher Sci, Miami, FL 33149 USA</t>
  </si>
  <si>
    <t>Texas A&amp;M University System; Texas A&amp;M University College Station; University of California System; University of California Santa Barbara</t>
  </si>
  <si>
    <t>Texas A&amp;M Univ, Dept Oceanog, College Stn, TX 77843 USA.</t>
  </si>
  <si>
    <t>wgardner@ocean.tamu.edu</t>
  </si>
  <si>
    <t>Hansell, Dennis A./AAC-1271-2019; Gardner, Wilford D/E-2579-2012; Mishonov, Alexey V/F-3211-2011</t>
  </si>
  <si>
    <t>Hansell, Dennis A./0000-0001-9275-3445; Mishonov, Alexey V/0000-0002-2958-8747</t>
  </si>
  <si>
    <t>PII S0967-0645(02)00589-1</t>
  </si>
  <si>
    <t>10.1016/S0967-0645(02)00589-1</t>
  </si>
  <si>
    <t>WOS:000181922700008</t>
  </si>
  <si>
    <t>Dagg, MJ; Urban-Rich, J; Peterson, JO</t>
  </si>
  <si>
    <t>The potential contribution of fecal pellets from large copepods to the flux of biogenic silica and particulate organic carbon in the Antarctic Polar Front region near 170°W</t>
  </si>
  <si>
    <t>SOUTHERN-OCEAN; PACIFIC SECTOR; DOWNWARD FLUX; VERTICAL FLUX; ZOOPLANKTON; DIATOM; SEDIMENTATION; MATTER; EXPORT; SHELF</t>
  </si>
  <si>
    <t>During a spring and a summer cruise, we determined the amounts of biogenic silica (bSi) and particulate organic carbon (POC) encapsulated into fecal pellets by the community of large copepods in the Antarctic Polar Front region, in order to estimate the potential contribution of sinking pellets to bSi and POC flux from the surface layer. Grazing by large copepods can be an important mechanism for enhancing vertical flux of POC and bSi because particles in the diatom size range are excellent foods for mesozooplankton, bSi is inert in copepod guts, and copepod fecal pellets (which have a chitinous membrane that retards dissolution of pellet contents) have sinking rates of 100s m d(-1). Rates of pellet production were measured in deck incubations with natural seawater as food medium. BSi and POC contents of pellets were measured in the laboratory. These data were applied to measured abundances of large copepods and the resultant rates of bSi and POC pellet production were compared to flux measurements made by other investigators. Comparison between pellet production by the community of large copepods and flux at 100 m determined by thorium isotopes indicated that pellet production was equivalent to 22-63% of POC flux and 42-107% of bSi flux during the spring cruise. The potential contribution of pellets to flux at 100 m in the summer was considerably smaller, between 2% and 7% for POC and between 1% and 5% for bSi (with one exception at the southernmost station where there was a diatom bloom). We conclude that, in the spring especially, fecal pellets can contribute significantly to the bSi and POC sinking from the surface layer within the Antarctic Polar Front region. However, sediment traps deployed at a depth of 1000 m during the spring cruise indicated total fluxes of both bSi and POC were less than pellet production in the upper 100 m, indicating consumption or degradation of sinking material is significant between 100 and 1000 m. Fecal pellet production of POC was 4-10 times greater than the flux of POC at 1000 m and pellet production of bSi was 0.4-5 times the flux of bSi at 1000m. Although pellets can contribute significantly to total flux, a large fraction of pellet material must be remineralized during sinking. (C) 2002 Elsevier Science Ltd. All rights reserved.</t>
  </si>
  <si>
    <t>Louisiana Univ Marine Consortium, Chauvin, LA 70344 USA</t>
  </si>
  <si>
    <t>Dagg, MJ (corresponding author), Louisiana Univ Marine Consortium, 8124 Highway 56, Chauvin, LA 70344 USA.</t>
  </si>
  <si>
    <t>mdagg@lumcon.edu</t>
  </si>
  <si>
    <t>PII S0967-0645(02)00590-8</t>
  </si>
  <si>
    <t>10.1016/S0967-0645(02)00590-8</t>
  </si>
  <si>
    <t>WOS:000181922700009</t>
  </si>
  <si>
    <t>Ingalls, AE; Lee, C; Wakeham, SG; Hedges, JI</t>
  </si>
  <si>
    <t>The role of biominerals in the sinking flux and preservation of amino acids in the Southern Ocean along 170°W</t>
  </si>
  <si>
    <t>SEDIMENT TRAP MATERIAL; EQUATORIAL PACIFIC; DIAGENETIC ALTERATION; PARTICULATE MATTER; VERTICAL FLUX; DEEP-OCEAN; NORTH-SEA; CARBON; SILICA; PROTEIN</t>
  </si>
  <si>
    <t>In a study of the transport and transformation of particulate amino acids in the Southern Ocean, we found that silicate and calcium carbonate biominerals play an important role in the preservation of amino acids throughout the water column and surface sediments. Plankton, sinking particle and sediment samples were collected during the USJGOFS AESOPS transect across the Antarctic Polar Front (APF) along 170degreesW. Total hydrolyzable amino acids (THAA) made up of 17-27% of total organic carbon (C-org) in sinking particles and 6-23% of Corg in surface sediments. In addition to THAA, we measured amino acids bound in silicate (SiTHAA) and calcium carbonate (CaTHAA) biominerals. Although the fraction of biomineral bound to total amino acids in plankton was small, &lt;1%, the ratio of mineral-bound to nonmineral-bound amino acids increased with depth in the water column and sediments. Mineral-bound amino acids often dominated the total amino acid pool in biomineral-rich sediments beneath the Antarctic Circumpolar Current. SiTHAA were enriched in glycine and threonine relative to THAA and were similar in composition to SiTHAA in diatom frustules isolated from APF sediments. CaTHAA were enriched in aspartic acid relative to THAA. The difference in composition between mineral-bound amino acids and non-mineral-bound amino acids increased with depth. Amino acid composition has been used to develop a Degradation Index (sensu Dauwe and Middelburg, 1998). The unusual amino acid composition of Southern Ocean plankton, i.e., dominated by diatom cell walls, resulted in an apparent mismatch between the absolute value of the Degradation Index and the presumed extent of degradation. However, changes in amino acid composition that accompanied degradation were similar to those found in previous studies. Principal components analysis suggests that the greatest change in THAA composition occurred between the sediment surface floc layer and deeper sediments where particles had the longest residence time. Compositional changes observed in the water column suggested that degradation processes resulted in complete removal of amino acids, whereas changes in sediments were consistent both with selective degradation of plankton amino acids with depth and with the conversion of primarily phytoplankton biomass to that of bacterial biomass. (C) 2002 Elsevier Science Ltd. All rights reserved.</t>
  </si>
  <si>
    <t>SUNY Stony Brook, Marine Sci Res Ctr, Stony Brook, NY 11794 USA; Skidaway Inst Oceanog, Savannah, GA 31411 USA; Univ Washington, Sch Oceanog, Seattle, WA 98195 USA</t>
  </si>
  <si>
    <t>State University of New York (SUNY) System; State University of New York (SUNY) Stony Brook; University System of Georgia; University of Georgia; Skidaway Institute of Oceanography; University of Washington; University of Washington Seattle</t>
  </si>
  <si>
    <t>Harvard Univ, Dept Earth &amp; Planetary Sci, 20 Oxford St, Cambridge, MA 02138 USA.</t>
  </si>
  <si>
    <t>ingalls@eps.harvard.edu</t>
  </si>
  <si>
    <t>Lee, Cindy/B-1456-2009</t>
  </si>
  <si>
    <t>Lee, Cindy/0000-0002-7608-6213; Ingalls, Anitra/0000-0003-1953-7329</t>
  </si>
  <si>
    <t>PII S0967-0645(02)00592-1</t>
  </si>
  <si>
    <t>10.1016/S0967-0645(02)00592-1</t>
  </si>
  <si>
    <t>WOS:000181922700011</t>
  </si>
  <si>
    <t>Chase, Z; Anderson, RF; Fleisher, MQ; Kubik, PW</t>
  </si>
  <si>
    <t>Scavenging of 230Th 231Pa and 10Be in the Southern Ocean (SW Pacific sector):: the importance of particle flux, particle composition and advection</t>
  </si>
  <si>
    <t>ANTARCTIC CIRCUMPOLAR CURRENT; ATLANTIC SECTOR; THERMOHALINE CIRCULATION; PA-231/TH-230 RATIO; MARINE-SEDIMENTS; NORTH-ATLANTIC; POLAR FRONT; SEA; WATERS; REMINERALIZATION</t>
  </si>
  <si>
    <t>The scavenging of Th-230, Pa-231 and Be-10 was studied in the Pacific sector of the Southern Ocean along 170 degreesW using measurements from surface sediments, time-series sediment traps, and the water column. All sediment traps collected an annual flux of Pa-231 greater than the integrated rate of production by U-235-decay (up to 5.5 times greater) and a flux of Be-10 greater than the global-average deposition rate of Be-10 (up to 3.4 times greater). Fluxes of Th-230 were on average close to the production rate in the overlying water column. These large fluxes of Pa-231 and (10) Be, and high unsupported Pa-231/Th-231 and Be-10/Th-230 ratios in the sediments, are not associated with depletion of nuclides in the water column, and therefore are not the result of the classical boundary scavenging mechanism. We estimate that of the Pa-231 and Th-230 advected into the Southern Ocean as part of the large-scale overturning circulation, only those nuclides associated with the upper limb of this circulation, i.e. those that pass through the surface as part of the wind-driven Ekman flow, are scavenged efficiently. The majority of the nuclides advected into the Southern Ocean and associated with the bottom water limb are not scavenged to the sediments of the Southern Ocean, but are returned northward. Throughout the year, the unsupported Pa-231/Th-230 and Be-10/Th-230 ratios of material reaching sediment traps at similar to 1000 m at a given site increase with increasing particle flux. This behavior is explained by a conceptual model in which Th, Pa and Be are scavenged reversibly by fine-grained suspended particles at all depths, while Pa and Be are in addition scavenged strongly by diatom-rich aggregates in surface waters. Spatial variability in the annually averaged unsupported Pa-231/Th-230 and Be-10/Th-230 ratios of sinking particulate matter reflects primarily the variability in particle composition, and in the ratio and quantity of nuclides upwelled to the mixed layer, rather than variability in particle flux. (C) 2003 Elsevier Science Ltd. All rights reserved.</t>
  </si>
  <si>
    <t>Columbia Univ, Lamont Doherty Earth Observ, Palisades, NY 10964 USA; Columbia Univ, Dept Earth &amp; Environm Sci, Palisades, NY 10964 USA; ETH Honggerberg, Inst Particle Phys, Paul Scherrer Inst, CH-8093 Zurich, Switzerland; Monterey Bay Aquarium Res Inst, Moss Landing, CA 95039 USA</t>
  </si>
  <si>
    <t>Columbia University; Columbia University; Swiss Federal Institutes of Technology Domain; Paul Scherrer Institute; ETH Zurich; Monterey Bay Aquarium Research Institute</t>
  </si>
  <si>
    <t>Columbia Univ, Lamont Doherty Earth Observ, Route 9 W, Palisades, NY 10964 USA.</t>
  </si>
  <si>
    <t>zanna@mbari.org</t>
  </si>
  <si>
    <t>Chase, Zanna/E-9232-2013</t>
  </si>
  <si>
    <t>Chase, Zanna/0000-0001-5060-779X; Anderson, Robert/0000-0002-8472-2494</t>
  </si>
  <si>
    <t>PII S0967-0645(02)00593-3</t>
  </si>
  <si>
    <t>10.1016/S0967-0645(02)00593-3</t>
  </si>
  <si>
    <t>WOS:000181922700012</t>
  </si>
  <si>
    <t>Fennel, K; Abbott, MR; Spitz, YH; Richman, JG; Nelson, DM</t>
  </si>
  <si>
    <t>Modeling controls of phytoplankton production in the southwest Pacific sector of the Southern Ocean</t>
  </si>
  <si>
    <t>ANTARCTIC POLAR FRONT; SEA ICE-EDGE; ATLANTIC SECTOR; SILICIC-ACID; ROSS SEA; BIOGENIC SILICA; AUSTRAL SUMMER; SINKING RATES; IRON; DIATOM</t>
  </si>
  <si>
    <t>The Southern Ocean is the largest high-nutrient, low-chlorophyll region in the world's ocean and a potentially important site for the sequestration of carbon. We present a one-dimensional physical/biogeochemical model that integrates biogeochemical measurements obtained during the AESOPS (U.S. JGOFS) study in the southwest Pacific sector to elucidate the controls of primary productivity and export. The model is applied to a series of four stations along 170degreesW spanning the different biogeochemical subsystems in the Polar Frontal Zone, the Polar Front, and the Seasonal Ice Zone south of the Polar Front. Since horizontal fluxes of heat, freshwater and nutrients are found to be important but cannot be resolved explicitly in a one-dimensional model, we employ a restoration of temperature, salinity and nutrients. The surface fluxes of light and momentum are modified during ice-covered periods to account for the effects of sea ice. The biological model component includes the elemental cycles of nitrogen and silica. Diatoms are represented as a separate phytoplankton group, and small phytoplankton and zooplankton are tightly coupled. The effect of the low iron availability in the region is implicitly taken into account by using typical phytoplankton growth rates and a typical, high Si:N stoichiometry of 4 for the diatoms. The model captures the essential features of the distinct subsystems including the low-chlorophyll condition north of the Polar Front, the diatom blooms in the vicinity of the Polar Front and to its south, the differential drawdown of nitrate and silicic acid, and the seasonal patterns of biogenic silica, primary production and vertical particle flux. Top-down control of the small phytoplankton by efficient microzooplankton grazing and bottom-up control of diatoms by light and silicic acid are the main factors for the simulated behavior. A sensitivity analysis of the biological model component shows that the growth parameters for the two phytoplankton groups are most important in constraining primary productivity and overall model behavior. This implies that changes in growth rates induced by variations in iron supply as assumed over glacial-interglacial transitions can affect primary and export production substantially. (C) 2002 Elsevier Science Ltd. All rights reserved.</t>
  </si>
  <si>
    <t>Oregon State Univ, Coll Ocean &amp; Atmospher Sci, Corvallis, OR 97331 USA</t>
  </si>
  <si>
    <t>Oregon State University</t>
  </si>
  <si>
    <t>Rutgers State Univ, IMCS, New Brunswick, NJ 08901 USA.</t>
  </si>
  <si>
    <t>kfennel@imcs.rutgers.edu</t>
  </si>
  <si>
    <t>Fennel, Katja/A-7470-2009; Abbott, Mark R/J-8445-2016</t>
  </si>
  <si>
    <t>fennel, katja/0000-0003-3170-2331</t>
  </si>
  <si>
    <t>PII S0967-0645(02)00594-5</t>
  </si>
  <si>
    <t>10.1016/S0967-0645(02)00594-5</t>
  </si>
  <si>
    <t>WOS:000181922700013</t>
  </si>
  <si>
    <t>Accumulation of biogenic and lithogenic material in the Pacific sector of the Southern Ocean during the past 40,000 years</t>
  </si>
  <si>
    <t>GLACIAL-INTERGLACIAL CHANGES; DEEP-SEA; ATMOSPHERIC CO2; ORGANIC-CARBON; TERRIGENOUS SEDIMENT; MARINE-SEDIMENTS; ATLANTIC SECTOR; BARIUM FLUXES; WEDDELL SEA; POLAR FRONT</t>
  </si>
  <si>
    <t>The Th-230-normalization technique was applied to surface sediments and down-core records from the Pacific sector of the Southern Ocean between 120degreesW and 170degreesW in order to reconstruct vertical rain rates, corrected for lateral redistribution of sediment. Preserved rain rates of opal, organic carbon and biogenic Ba all indicate that biological productivity south of the Antarctic Polar Front (APF) was much lower than today during the Last Glacial Maximum (LGM), probably in response to increased ice cover. However, by analogy with modern opal fluxes south of the ACC, we show that year-round ice cover is not a prerequisite for very low rates of opal accumulation. Available records from north of the APF indicate little to no change in opal export, in contrast to records from the Indian and Atlantic sectors, which show enhanced opal export north of the APF during the LGM. Glacial records from north of 66degreesS in the Pacific all show lithogenic fluxes that were greater than today, but significantly lower than lithogenic fluxes in the glacial Atlantic and Indian sectors. Together, these new records from the Pacific sector show that during the LGM the three basins of the Southern Ocean were significantly more differentiated than today. The observed inter-basin distribution of lithogenic fluxes and opal burial, and the presumed geographical distribution of increased dust input to the Southern Ocean during the LGM, are consistent with an Atlantic-Indian-Pacific gradient in the degree of iron-stimulated diatom productivity within the zone lying between the APF and the Subantarctic Front. Previous studies, which focused primarily on the Atlantic sector, may have overestimated the glacial increase in the strength of the biological pump in the Southern Ocean. (C) 2002 Elsevier Science Ltd. All rights reserved.</t>
  </si>
  <si>
    <t>Columbia Univ, Lamont Doherty Earth Observ, Palisades, NY 10964 USA; Columbia Univ, Dept Earth &amp; Environm Sci, New York, NY 10027 USA; ETH Honggerberg, Inst Particle Phys, Paul Scherrer Inst, CH-8093 Zurich, Switzerland; Monterey Bay Aquarium Res Inst, Moss Landing, CA 95039 USA</t>
  </si>
  <si>
    <t>Columbia Univ, Lamont Doherty Earth Observ, Route 9 W,POB 1000, Palisades, NY 10964 USA.</t>
  </si>
  <si>
    <t>; Chase, Zanna/E-9232-2013</t>
  </si>
  <si>
    <t>Anderson, Robert/0000-0002-8472-2494; Chase, Zanna/0000-0001-5060-779X</t>
  </si>
  <si>
    <t>PII S0967-0645(02)00595-7</t>
  </si>
  <si>
    <t>10.1016/S0967-0645(02)00595-7</t>
  </si>
  <si>
    <t>WOS:000181922700014</t>
  </si>
  <si>
    <t>Harris, PT; Brancolini, G; Bindoff, N; De Santis, L</t>
  </si>
  <si>
    <t>Recent investigations of the Mertz Polynya and George Vth Land continental margin, East Antarctica - Preface</t>
  </si>
  <si>
    <t>Ist Nazl Oceanog &amp; Geofis Sperimentale, OGS, I-34010 Sgonico, TS, Italy; Antarctic CRC, Hobart, Tas 7001, Australia; Geosci Australia, Hobart, Tas 7001, Australia; Antarctic CRC, Hobart, Tas 7001, Australia</t>
  </si>
  <si>
    <t>Istituto Nazionale di Oceanografia e di Geofisica Sperimentale; Geoscience Australia</t>
  </si>
  <si>
    <t>Harris, PT (corresponding author), Geosci Australia, GPO Box 378, Canberra, ACT 2601, Australia.</t>
  </si>
  <si>
    <t>Bindoff, Nathaniel Lee/IVV-0333-2023; Bindoff, Nathaniel Lee/C-8050-2011; Harris, Peter/AAI-7100-2020</t>
  </si>
  <si>
    <t>Bindoff, Nathaniel Lee/0000-0001-5662-9519; Bindoff, Nathaniel Lee/0000-0001-5662-9519;</t>
  </si>
  <si>
    <t>8-9</t>
  </si>
  <si>
    <t>10.1016/S0967-0645(03)00067-5</t>
  </si>
  <si>
    <t>696CG</t>
  </si>
  <si>
    <t>WOS:000183867600001</t>
  </si>
  <si>
    <t>Porter-Smith, R</t>
  </si>
  <si>
    <t>Bathymetry of the George Vth Land shelf and slope</t>
  </si>
  <si>
    <t>ELEVATION</t>
  </si>
  <si>
    <t>Antarctic CRC, Hobart, Tas 7001, Australia; Geosci Australia, Hobart, Tas 7001, Australia</t>
  </si>
  <si>
    <t>Geoscience Australia</t>
  </si>
  <si>
    <t>Porter-Smith, R (corresponding author), Geosci Australia, GPO Box 252-80, Hobart, Tas 7001, Australia.</t>
  </si>
  <si>
    <t>Smith, Rick/E-4801-2013</t>
  </si>
  <si>
    <t>10.1016/S0967-0645(03)00069-9</t>
  </si>
  <si>
    <t>WOS:000183867600002</t>
  </si>
  <si>
    <t>Beaman, RJ; Harris, PT</t>
  </si>
  <si>
    <t>Seafloor morphology and acoustic facies of the George V Land shelf</t>
  </si>
  <si>
    <t>LAST GLACIAL MAXIMUM; CONTINENTAL-SHELF; EAST ANTARCTICA; BOTTOM WATER; ROSS SEA; SEDIMENTS; ICE; DEPOSITS; DRIFT; COAST</t>
  </si>
  <si>
    <t>To study the seafloor morphology on the George V Land shelf, East Antarctica, over 2000 km of high-frequency 3.5-27 kHz, echo-sounder data were collected between February and March 2000. The shelf can be divided into four acoustic facies: (a) Type IA-2 seabed is ice-keel turbate found on mid- to outer-shelf banks on seafloor less than 500 m deep; (b) Type IB seabed is siliceous mud and diatom ooze drift, drape and fill deposits within the George V Basin between 750 and 850 m depth; (c) Type IIB seabed is smooth diamicton below 500 m depth, and occasionally has low-relief megaflutes or ridge and swale features; (d) Type IIIC seabed is high relief ridges and canyons from the coast to the deepest part of the George V Basin. The acoustic facies are explained in terms of glacial and oceanographic influences on the shelf since the Last Glacial Maximum. (C) 2003 Elsevier Science Ltd. All rights reserved.</t>
  </si>
  <si>
    <t>Univ Tasmania, Sch Geog &amp; Environm Studies, Hobart, Tas 7001, Australia; Univ Tasmania, Australian Geol Survey Org, Hobart, Tas 7001, Australia; Univ Tasmania, Antarctic CRC, Hobart, Tas 7001, Australia</t>
  </si>
  <si>
    <t>University of Tasmania; Geoscience Australia; University of Tasmania; University of Tasmania</t>
  </si>
  <si>
    <t>Beaman, RJ (corresponding author), Univ Tasmania, Sch Geog &amp; Environm Studies, GPO 252-76, Hobart, Tas 7001, Australia.</t>
  </si>
  <si>
    <t>Harris, Peter T/C-6997-2009; Harris, Peter/AAI-7100-2020</t>
  </si>
  <si>
    <t>10.1016/S0967-0645(03)00071-7</t>
  </si>
  <si>
    <t>Green Accepted</t>
  </si>
  <si>
    <t>WOS:000183867600003</t>
  </si>
  <si>
    <t>Wu, XG; Budd, WF; Allison, I</t>
  </si>
  <si>
    <t>Modelling the impacts of persistent Antarctic polynyas with an atmosphere-sea-ice general circulation model</t>
  </si>
  <si>
    <t>INDIAN-OCEAN; HEAT-FLUX; SENSITIVITY; LEADS</t>
  </si>
  <si>
    <t>A coupled atmosphere-sea-ice model is used to assess the effect of Antarctic polynyas on the heat exchange between the surface and the atmosphere, the ice production rate within the polynyas, and the possible mechanisms of formation and maintenance of the polynyas. Results are presented for sensitivity studies with the model using prescribed minimum open-water fractions (25% and 30%) at a number of locations around the coast of East Antarctica and in the Amundsen, Ross and Weddell Seas. Although to some extent unphysical for the ocean, this technique allows the heat fluxes and freezing rates to be computed for the constrained conditions compared with an unconstrained control simulation. The model simulations suggest that Antarctic coastal polynyas, including the Mertz Glacier polynya, are primarily latent heat polynyas (where the heat loss from open water is balanced by the latent heat released with ice production) rather than sensible heat ones (where the heat loss is balanced by heat from the deep ocean). When a polynya exists, the turbulent latent heat flux from the ocean surface to the atmosphere can increase several times in 2 magnitude and the average latent heat flux (over open-water and sea-ice fractions) can be sustained at over 60 W m(-2). The sensible heat flux changes sign and increases by about 2 orders of magnitude. This loss of turbulent heat (sensible plus latent) is offset only slightly by increased absorbed short-wave radiation in winter, but this offset increases greatly in spring when more short-wave radiation is available. In the polynyas, the large heat loss to the atmosphere is mostly balanced by the heat released due to ice formation, and this is accompanied by a high rate of salt rejection. The average ice production simulated in the polynyas is more than 11 m/year, with 5 m formed during 3 months of winter. These results provide quantitative support for the sustained high ice-freezing rates in polynyas estimated in other studies, which have used satellite and in situ observational data. (C) 2003 Elsevier Science Ltd. All rights reserved.</t>
  </si>
  <si>
    <t>Antarctic Cooperat Res Ctr, Hobart, Tas 7001, Australia; QSS Grp Inc, Lanham, MD USA; QSS Natl Ice Ctr, Washington, DC USA; US Natl Ice Ctr, Washington, DC USA; Australian Antarctic Div, Kingston, Tas, Australia</t>
  </si>
  <si>
    <t>Antarctic Cooperat Res Ctr, Private Bag 80, Hobart, Tas 7001, Australia.</t>
  </si>
  <si>
    <t>x.wu@utas.edu.au</t>
  </si>
  <si>
    <t>Allison, Ian F/I-4477-2015</t>
  </si>
  <si>
    <t>Allison, Ian F/0000-0001-9599-0251</t>
  </si>
  <si>
    <t>10.1016/S0967-0645(03)00072-9</t>
  </si>
  <si>
    <t>WOS:000183867600004</t>
  </si>
  <si>
    <t>Williams, GD; Bindoff, NL</t>
  </si>
  <si>
    <t>Wintertime oceanography of the Adelie Depression</t>
  </si>
  <si>
    <t>MERTZ GLACIER POLYNYA; EAST ANTARCTICA; WATER MASSES; BOTTOM WATER; ICE; CIRCULATION; OCEAN; PACIFIC; SEA</t>
  </si>
  <si>
    <t>The formation of high-salinity shelf waters beneath coastal polynyas from enhanced sea-ice production and brine rejection during wintertime is critical to the production of Antarctic Bottom Waters. We report on the first wintertime measurements of high-salinity shelf water formation over the Adelie Depression off the East Antarctic coast between 143degrees and 146degreesE, during the Mertz Glacier Polynya Experiment in July-August 1999. The general circulation and evolution of water masses in the Adelie Depression during winter are described, and in particular we quantify the rates of brine rejection (sea-ice growth), ocean heat flux, and latent heat flux, in the Mertz polynya central to the formation of high-salinity shelf waters. We find shelf waters above the minimum sill depth with sufficient density to become Adelie Land Bottom Water and suggest the highest production rates occur near Commonwealth Bay. Sea-ice growth and heat transfer rates are calculated from the divergence of heat and freshwater fields around a closed volume beneath the Mertz polynya. The sea-ice growth estimates and associated Monte Carlo errors are found to range from 4.8 +/- 1.7, 4.1 +/- 1.5, 8.4 +/- 1.7 cm d(-1), respectively, over a 3-week period. The average growth rate is 5.8 cm d(-1). Near the Mertz polynya the sensible heat from ocean transport is between 15 +/- 6 and 43 +/- 11 Wm(-2), with an average of 30 W m(-2), and the latent heat budget is between 125 +/- 45 and 254 +/- 52 W m(-2), with an average of 174 W m(-2). We conclude that during winter the Mertz polynya is primarily a latent heat polynya. Crown Copyright (C) 2003 Published by Elsevier Science Ltd. All rights reserved.</t>
  </si>
  <si>
    <t>Univ Tasmania, Inst Antarctic &amp; So Ocean Studies, Hobart, Tas, Australia; Univ Tasmania, Antarctic Cooperat Res Ctr, Hobart, Tas, Australia</t>
  </si>
  <si>
    <t>University of Tasmania; University of Tasmania</t>
  </si>
  <si>
    <t>Williams, GD (corresponding author), Univ Tasmania, Inst Antarctic &amp; So Ocean Studies, Hobart, Tas, Australia.</t>
  </si>
  <si>
    <t>Bindoff, Nathaniel Lee/C-8050-2011; Bindoff, Nathaniel Lee/IVV-0333-2023</t>
  </si>
  <si>
    <t>Bindoff, Nathaniel Lee/0000-0001-5662-9519; Bindoff, Nathaniel Lee/0000-0001-5662-9519</t>
  </si>
  <si>
    <t>10.1016/S0967-0645(03)00074-2</t>
  </si>
  <si>
    <t>WOS:000183867600005</t>
  </si>
  <si>
    <t>Sambrotto, RN; Matsuda, A; Vaillancourt, R; Brown, M; Langdon, C; Jacobs, SS; Measures, C</t>
  </si>
  <si>
    <t>Summer plankton production and nutrient consumption patterns in the Mertz Glacier Region of East Antarctica</t>
  </si>
  <si>
    <t>PHYTOPLANKTON COMMUNITY STRUCTURE; MARGINAL ICE-ZONE; ROSS SEA; SOUTHERN-OCEAN; WEDDELL SEA; BIOLOGICAL/OCEANOGRAPHIC SURVEY; PACIFIC SECTOR; ADELIE LAND; IRON; CARBON</t>
  </si>
  <si>
    <t>We report on a biological and nutrient survey conducted off the eastern Adelie and George V Coasts of East Antarctica in late December 2000 and January 2001. The region was dominated by the Mertz Glacier Tongue (MGT) and its associated polynya that controlled the amount of open water through the season and influenced stratification near forming and melting ice. As in other regions of the Southern Ocean, large concentrations of nitrate, phosphate and silicic acid were found. Chlorophyll levels varied from 0.3mg m(-3) in pack-ice and slope regions to greater than 10mg m(-3) in a Phaeocystis bloom encountered among grounded ice northeast of the MGT. Net utilization rates of nutrients were derived from the deficit between measured concentrations and estimated winter values. Nitrate (N + N) and silicic acid utilization rates ranged from 2 to 12 and 14 to 30 mmol m(-2) d(-1), respectively, and were greatest in Commonwealth Bay. The ratio of nitrate to phosphate utilization was low (&lt; 10), particularly along the west side of the MGT in the core of the polynya associated with ice-shelf water. The silicic acid to N + N utilization ratio also varied significantly from &lt;2 to &gt; 10. Lower silicic acid to N + N ratios were found in regions with substantial populations of Phaeocystis sp. in the eastern, grounded ice region. However, there was significant variation in the silicic acid to N+N utilization that may be induced by mixed-layer iron levels that varied from &lt;0.1 to 0.5 nM at 12 stations. The silicic acid to N+N utilization ratio explained over 30% of the variability in the distribution of surface water pCO(2), suggesting a strong link between iron availability, phytoplankton production, and carbon absorption. Possible sources of iron to local surface Waters include aeolian transport, release from melting ice, coastal sediments, and the transport of upper circumpolar deep water across the shelf. The combination of early open water in the polynya, variations in surface mixing, and iron supply near such ice tongues may bring about similar biogeochemical distributions in other East Antarctic polynya regions. (C) 2003 Elsevier Science Ltd. All rights reserved.</t>
  </si>
  <si>
    <t>Columbia Univ, Lamont Doherty Geol Observ, Palisades, NY 10964 USA; Univ Hawaii, Dept Earth &amp; Ocean Sci, Manoa, HI 96822 USA</t>
  </si>
  <si>
    <t>Columbia University; University of Hawaii System; University of Hawaii Manoa</t>
  </si>
  <si>
    <t>Columbia Univ, Lamont Doherty Geol Observ, Palisades, NY 10964 USA.</t>
  </si>
  <si>
    <t>sambrott@ldeo.columbia.edu</t>
  </si>
  <si>
    <t>Langdon, Chris/A-1543-2016</t>
  </si>
  <si>
    <t>Langdon, Chris/0000-0002-3043-3806; Vaillancourt, Robert/0000-0003-1008-2380</t>
  </si>
  <si>
    <t>10.1016/S0967-0645(03)00076-6</t>
  </si>
  <si>
    <t>WOS:000183867600006</t>
  </si>
  <si>
    <t>Presti, M; De Santis, L; Busetti, M; Harris, PT</t>
  </si>
  <si>
    <t>Late pleistocene and holocene sedimentation on the George V Continental Shelf, East Antarctica</t>
  </si>
  <si>
    <t>BOTTOM WATER PRODUCTION; LAST GLACIAL MAXIMUM; ICE-SHEET RETREAT; ROSS SEA; ROBERTSON SHELF; PALMER-DEEP; PENINSULA; PRODUCTIVITY; NITROGEN; HISTORY</t>
  </si>
  <si>
    <t>Climatically controlled glaciological and oceanographic environmental changes off the George V Coast during the Late Pleistocene and Holocene have been reconstructed from changes in sedimentation processes. The evolution of a sediment drift deposit (Mertz Drift) located in the deep trough on the shelf has been assessed using a sedimentological approach. Up to 5.5 m long cores have been collected. Four Late Pleistocene to Holocene sediment units have been distinguished on the basis of their physical properties, grain-size distributions, geochemical characteristics and ages. The basal Unit 1 is a grey, sandy clayey diamicton (27-37 wt% sand) deposited before 14,000 C-14 yr before present (C-14 yr BP). Unit 1 represents a Late Pleistocene, sub-ice shelf water-lain till, overlain by a thin current-winnowed sandy subunit. Unit 2 is a massive siliceous sandy mud (11-30 wt% sand), rich in ice-rafted debris, deposited between about 14,000 and 5000 C-14 yr BP. It likely represents an open-marine setting, proximal to a retreating ice-front, where strong bottom currents were frequent. The overlying Unit 3 is a laminated siliceous mud and diatomaceous ooze, with less terrigenous material (4-5 wt% average sand), deposited between 5000 and 3000 C-14 yr BP. The low wet bulk density values (&lt;2g/cm(3)) and mass-specific magnetic susceptibility values (&lt;25 x 10(-8) m(3)/kg) of sediments of Unit 3 are a consequence of the high content of biogenic material (C-org content &gt; 1 wt%; biogenic opal averaging 55 wt%). Unit 3 is probably related to a phase of increased sediment accumulation on the drift site and low bottom current activity on the shelf, with a stratified upper water column that could have lead to an enhanced primary productivity. Occurrence of crossed lamination indicates episodes of slightly enhanced bottom currents, probably with velocities up to 3-5 cm/s. The top Unit 4 is a bioturbated siliceous sandy mud, on average 50 cm thick, deposited under an energetic bottom current regime after about 3000 C-14 yr BP. This regime is probably related to the activation of a brine-rejection mechanism and is linked to the formation of high-salinity shelf water (HSSW) in a coastal polynya, which causes winnowing of the shelf deposits. In contrast, the mid-Holocene setting was characterised by weaker bottom currents that, together with high inputs of organic material from the photic zone, allowed for the deposition of thick fine-grained sediments of Unit 3, resulting in an anoxic environment. (C) 2003 Elsevier Science Ltd. All rights reserved.</t>
  </si>
  <si>
    <t>Ist Natl Oceanog &amp; Geofis Sperimentale, OGS, Dipartimento Geofis Litosfera, I-34010 Trieste, Italy; Univ Tasmania, Antarctic CRC, Hobart, Tas 7001, Australia; Univ Tasmania, Geosci Australia, Hobart, Tas 7001, Australia</t>
  </si>
  <si>
    <t>Istituto Nazionale di Oceanografia e di Geofisica Sperimentale; University of Tasmania; University of Tasmania; Geoscience Australia</t>
  </si>
  <si>
    <t>Presti, M (corresponding author), Ist Natl Oceanog &amp; Geofis Sperimentale, OGS, Dipartimento Geofis Litosfera, Bgo Grotta Gigante 42-C, I-34010 Trieste, Italy.</t>
  </si>
  <si>
    <t>massimopresti@tiscali.it</t>
  </si>
  <si>
    <t>Harris, Peter/AAI-7100-2020; Busetti, Martina/L-5185-2014</t>
  </si>
  <si>
    <t>Busetti, Martina/0000-0001-7039-3282; De Santis, Laura/0000-0002-7752-7754</t>
  </si>
  <si>
    <t>10.1016/S0967-0645(03)00068-7</t>
  </si>
  <si>
    <t>WOS:000183867600008</t>
  </si>
  <si>
    <t>Harris, PT; Beaman, RJ</t>
  </si>
  <si>
    <t>Processes controlling the formation of the Mertz Drift, George Vth continental shelf, East Antarctica: evidence from 3.5 kHz sub-bottom profiling and sediment cores</t>
  </si>
  <si>
    <t>BOTTOM WATER PRODUCTION; ROSS SEA; ICE; RADIOCARBON; PENINSULA; FACIES; DIATOM</t>
  </si>
  <si>
    <t>Recently discovered sediment drift deposits on the Antarctic continental shelf provide access to information on the Holocene palaeoceanography of the bottom current regime within deep shelf basins that were previously inaccessible. The George Vth Basin on the East Antarctic margin has been identified by oceanographers as an important source of Antarctic Bottom Water, hence the Holocene history of bottom current activity here may be relevant to variations in bottom water export. The analysis of seismic and sediment core data indicates that the Holocene history of sedimentation on the Mertz Drift occurred in response to a progressively changing bottom current regime. The stratigraphic horizons that mark the onset of different phases of deposition are diachronous within the Mertz Drift. Rapidly accumulating, laminated siliceous mud and diatom ooze (SMO) that comprises the bulk was deposited first on the eastern side of the drift (5000-3500 years BP) and later on the lobate, southwestern side (3000 and 2000 years BP). This spatial variation in timing of rapid SMO deposition is attributed to a gradual increase in bottom current speed over the mid- to late Holocene. The deposition of true drift-style sedimentary features is restricted to a small area in the southwestern corner of the Mertz Drift, with the remaining parts characterised by drape and fill deposits. An estimation of the mass flux of sediment reaching the drift suggests that the modern, stronger bottom currents need carry only a very low suspended sediment concentration to explain the measured 10-fold reduction in sediment accumulation rates after 3000 years BP. Cores from the Mertz Drift and from a perched basin located 60 km to the east contain the same lithologic units and have the same approximate age. Thus the palaeoenvironmental interpretations based on the Mertz Drift can be extrapolated over the entire George Vth Basin region. Crown Copyright (C) 2003 Published by Elsevier Science Ltd. All rights reserved.</t>
  </si>
  <si>
    <t>Univ Tasmania, Sch Geog &amp; Environm Studies, Hobart, Tas 7001, Australia; Univ Tasmania, Geosci Australia, Hobart, Tas 7001, Australia; Univ Tasmania, Antarctic CRC, Hobart, Tas 7001, Australia</t>
  </si>
  <si>
    <t>University of Tasmania; University of Tasmania; Geoscience Australia; University of Tasmania</t>
  </si>
  <si>
    <t>Geosci Australia, GPO Box 378, Canberra, ACT 2601, Australia.</t>
  </si>
  <si>
    <t>peter.harris@ga.gov.au</t>
  </si>
  <si>
    <t>10.1016/S0967-0645(03)00070-5</t>
  </si>
  <si>
    <t>WOS:000183867600009</t>
  </si>
  <si>
    <t>Escutia, C; Warnke, D; Acton, GD; Barcena, A; Burckle, L; Canals, M; Frazee, CS</t>
  </si>
  <si>
    <t>Sediment distribution and sedimentary processes across the Antarctic Wilkes Land margin during the Quaternary</t>
  </si>
  <si>
    <t>CONTINENTAL-SHELF; SOUTHERN-OCEAN; DIATOM BIOSTRATIGRAPHY; ATLANTIC SECTOR; MARINE-SEDIMENTS; GEORGE-V; RECORD; ICE</t>
  </si>
  <si>
    <t>The study of existing cores collected across the Wilkes Land margin provides us with a better understanding of the sediment distribution and processes across this margin during the Holocene, and during Pleistocene glacial and interglacial cycles. Holocene depositional rates are high in deep ( &gt; 1000 m) inner-shelf basins where diatomaceous ooze is deposited at estimated minimum sedimentation rates ranging from 40 to 60 cm/kyr. In the shelf troughs, Holocene sediment has a patchy distribution or is totally absent. This is also the case on the shelf banks due to differential deposition because of the irregular relief of the continental shelf and the erosion and redistribution by bottom currents. Pleistocene interglacial sedimentation is well represented in sediment from the continental rise and is dominated by hemipelagic deposition of massive mud with the highest biogenic content (as indicated by %opal) and with a high abundance of clasts (IRD). During the Pleistocene glacial cycles, diamictons were deposited in the continental-shelf troughs and on the banks. Reworking (e.g., by bottom currents) and remobilization (e.g., gravity flows) of these diamictons is a common process along the shallow continental-shelf banks. On the continental slope and the continental rise, gravity flows are one of the most important sedimentary processes. Sediment from continental-slope cores, with a texture that greatly resembles the diamictons on the shelf, is interpreted to represent either part of a slump block or the start of a debris flow. Downslope, crudely stratified to laminated intervals represent the transition between an end member of a debris flow and a turbidity flow. Some of the laminated intervals in cores from the continental rise represent sediment deposited from a turbidity flow. Ages obtained from cores further support that slumps and gravity flows are dominant processes in this margin, because numerous hiatuses apparently are present in cores from the base of the slope. One of these cores extends into the Miocene. Elsewhere on the continental rise, massive and laminated sediments in cores of similar length record near-continuous Pleistocene sedimentation. (C) 2003 Elsevier Science Ltd. All rights reserved.</t>
  </si>
  <si>
    <t>Univ Granada, Fac Ciencias, Inst Andaluz Ciencias Tierra, CSIC, Granada 18002, Spain; Univ Barcelona, E-08028 Barcelona, Spain; Lamont Doherty Earth Observ, Palisades, NY 10964 USA; Univ Salamanca, Fac Ciencias, Salamanca 37008, Mexico; Texas A&amp;M Univ, Ocean Drilling Program, College Stn, TX 77845 USA; Calif State Univ Hayward, Hayward, CA 94542 USA</t>
  </si>
  <si>
    <t>University of Granada; Consejo Superior de Investigaciones Cientificas (CSIC); CSIC - Instituto Andaluz de Ciencias de la Tierra (IACT); University of Barcelona; Columbia University; Texas A&amp;M University System; Texas A&amp;M University College Station; California State University System; California State University East Bay</t>
  </si>
  <si>
    <t>Univ Granada, Fac Ciencias, Inst Andaluz Ciencias Tierra, CSIC, Campus Fuentenueva S-N, Granada 18002, Spain.</t>
  </si>
  <si>
    <t>cescutia@ugr.es</t>
  </si>
  <si>
    <t>Barcena, María Angeles/D-5839-2011; Acton, Gary D/B-6108-2016; Canals, Miquel/F-4922-2013; Escutia, Carlota/B-8614-2015</t>
  </si>
  <si>
    <t>Barcena, María Angeles/0000-0001-8261-2286; Canals, Miquel/0000-0001-5267-7601; Escutia, Carlota/0000-0002-4932-8619; Acton, Gary/0000-0002-3285-4022</t>
  </si>
  <si>
    <t>10.1016/S0967-0645(03)00073-0</t>
  </si>
  <si>
    <t>WOS:000183867600010</t>
  </si>
  <si>
    <t>Donda, F; Brancolini, G; De Santis, L; Trincardi, F</t>
  </si>
  <si>
    <t>Seismic facies and sedimentary processes on the continental rise off Wilkes Land (East Antarctica): evidence of bottom current activity</t>
  </si>
  <si>
    <t>TURBIDITY CURRENTS; TRANSANTARCTIC MOUNTAINS; WATER PRODUCTION; ROCKALL TROUGH; NORTH-ATLANTIC; WEDDELL SEA; WAVES; MARGIN; CIRCULATION; DEPOSITION</t>
  </si>
  <si>
    <t>The slope and rise areas off Wilkes Land (East Antarctica) encompass three large-scale composite sediment ridges dissected by two broad deep-sea valleys (Jussieu Canyon and WEGA Channel). Large-scale depositional architecture, revealed from multi-channel seismic profiles acquired during the WilkEs Basin GlaciAl History (WEGA) cruise, indicates a wide temporal and spatial variability in the dominant depositional processes delivering or redistributing sediments on the slope and rise. All three sediment ridges are built on a flat seafloor and resulted from the growth of a thick sediment section (at least 2 km) with a depositional relief in the order of hundreds of meters on the adjacent deepsea valleys. The sediment ridges show their maximum internal complexity in areas shallower than 3000m, where they are also substantially thicker (as much as 1-1.5 s. in two-way travel time). High amplitude sediment waves (typically 20-30m and up to 50-70m) have wavelengths ranging from 1500 to 3500m and occur in the deepest sectors of the continental rise, where the sediment ridges toe out. In the lower rise, the sediment waves display a consistent decrease in wavelength with increasing water depth. On seismic profiles, the relief of the sediment waves decreases from older to younger sequences, possibly indicating a decrease in bottom current intensity throughout their formation. Sediment waves occur also at the seafloor, which is dominated elsewhere by irregular topography and widespread evidence of erosion. However, no conclusion can be drawn on the possible modern activity of these large-scale bedforms. In shallower, upper-rise areas, where the sediment ridges are thicker, sediment waves are evident in the upper stratigraphic units, while the remaining section is characterized by the development of channel-levee complexes (seen as small-scale erosional channels, bordered by depositional reliefs consisting of variable-amplitude reflector packages wedging out away from the channels). Channel-levee complexes are locally associated with poorly developed sediment waves. The origin of these features is likely related to transport by turbidity flows from the edge of the Antarctic shelf and implies the presence of a more temperate glacial regime than the one dominating since the Late Miocene. The formation of the sediment waves, both in this more proximal area and on the deep rise, is indicative of the impact of bottom-hugging currents during intervals of the Cenozoic history of the margin. No constrains are available at present on the nature of these currents nor on the timing of their activity; down-slope turbidity currents, downwelling dense waters or slope parallel contour currents are possible mechanisms. Despite this substantial uncertainty, the observed progressive upward attenuation of the wave amplitudes indicates that substantial variations of sediment delivery and dispersal occurred through time. We suggest that the interval of more complex depositional geometry in the proximal areas reflects higher bottom current velocity and/or increased sediment input perhaps during conditions of temperate, wet-based ice sheet on the continent. These conditions were conducive to high rates of melt-water production, formation of dense plumes, and enhanced sediment input. (C) 2003 Elsevier Science Ltd. All rights reserved.</t>
  </si>
  <si>
    <t>Ist Nazl Oceanog &amp; Geofis Sperimentale, I-34010 Sgonico, TS, Italy; CNR, IGM, Ist Geol Marina, I-40129 Bologna, Italy</t>
  </si>
  <si>
    <t>Istituto Nazionale di Oceanografia e di Geofisica Sperimentale; Consiglio Nazionale delle Ricerche (CNR); Istituto di Scienze Marine (ISMAR-CNR)</t>
  </si>
  <si>
    <t>Donda, F (corresponding author), Ist Nazl Oceanog &amp; Geofis Sperimentale, Borgo Grotta Gigante, I-34010 Sgonico, TS, Italy.</t>
  </si>
  <si>
    <t>Trincardi, Fabio/0009-0003-7078-1631; De Santis, Laura/0000-0002-7752-7754; Donda, Federica/0000-0002-1284-5866; Trincardi, Fabio/0000-0002-8476-8804</t>
  </si>
  <si>
    <t>10.1016/S0967-0645(03)00075-4</t>
  </si>
  <si>
    <t>WOS:000183867600011</t>
  </si>
  <si>
    <t>Busetti, M; Caburlotto, A; Armand, L; Damiani, D; Giorgetti, G; Lucchi, RG; Quilty, PG; Villa, G</t>
  </si>
  <si>
    <t>Plio-Quaternary sedimentation on the Wilkes land continental rise: preliminary results</t>
  </si>
  <si>
    <t>CLAY MINERAL ASSEMBLAGES; DIATOM BIOSTRATIGRAPHY; ANTARCTIC PENINSULA; SURFACE SEDIMENTS; ATLANTIC SECTOR; SEA; PLIOCENE; SILICA; DRIFT; WEST</t>
  </si>
  <si>
    <t>The Wilkes Land continental rise is characterised by mounds and channels with approximately a north-south elongation, perpendicular to the margin. Proximal mound relief is up to 1000m, decreasing to about 300m in the central part. During the geophysical and geological survey conducted on in February-March 2000 by the joint Italian and Australian WEGA Project, onboard R/V Tangaroa, 11 piston cores were collected along two transects crossing the channel-mound system. All cores were logged for physical (magnetic susceptibility and density) and acoustic properties (P-wave velocity). Split cores were X-rayed and samples were analysed for clay mineral assemblages, chemical and micropaleontological (diatoms, foraminifera and nannofossils) content. Glacial and interglacial intervals have been recognised in the sediment cores. The interglacial facies consists of massive mud, distinguished by: (a) bioturbated massive mud occasionally with fine-grained ice-rafted debris (IRD), and (b) structureless massive mud with abundant fine to coarse-grained IRD, containing well-preserved open-ocean diatoms. The glacial facies is represented by laminated mud with planar and/or cross laminations, with occasional isolated dropstones, and rare, poorly preserved, sea-ice diatoms. The sharp boundary, characterizing the limit between massive to laminated facies, is interpreted to indicate a fast glacial onset. In contrast, the smooth passage presents from laminated to massive sediments, indicates a gradual glacial waning. Recent down-slope gravity flows have been identified in a turbidite, a normally graded coarse-grained sand, recovered in the thalweg of Jussie Canyon, and probably also in the massive debris facies from the steep side of Mound A. The massive debris is characterised by structureless and unsorted gravel and pebbles within a muddy matrix. Clay mineral assemblages and grain lithologies indicate a hinterland Wilkes Basin and continental shelf provenance for the terrigenous fraction. Crown Copyright (C) 2003 Published by Elsevier Science Ltd. All rights reserved.</t>
  </si>
  <si>
    <t>Ist Nazl Oceanog &amp; Geofis Sperimentale, I-34010 Trieste, Italy; Univ Parma, Dipartimento Sci Terra, I-43100 Parma, Italy; Univ Tasmania, Sch Earth Sci, Hobart, Tas 7001, Australia; Univ Siena, Dipartimento Sci Terra, I-53100 Siena, Italy; Univ Tasmania, Antarctic Cooperat Res Ctr, Hobart, Tas 7001, Australia; Univ Tasmania, Inst Antarctic &amp; So Ocean Studies, Hobart, Tas 7001, Australia</t>
  </si>
  <si>
    <t>Istituto Nazionale di Oceanografia e di Geofisica Sperimentale; University of Parma; University of Tasmania; University of Siena; University of Tasmania; University of Tasmania</t>
  </si>
  <si>
    <t>Ist Nazl Oceanog &amp; Geofis Sperimentale, Borgo Grotta Gigante 42-C, I-34010 Trieste, Italy.</t>
  </si>
  <si>
    <t>mbusetti@ogs.trieste.it</t>
  </si>
  <si>
    <t>Armand, Leanne K/C-9004-2009; Busetti, Martina/L-5185-2014</t>
  </si>
  <si>
    <t>Busetti, Martina/0000-0001-7039-3282; caburlotto, andrea/0000-0001-7259-6884; Armand, Leanne/0000-0003-3995-308X; Giorgetti, Giovanna/0000-0001-6233-4485; Lucchi, Renata Giulia/0000-0001-5111-6968</t>
  </si>
  <si>
    <t>10.1016/S0967-0645(03)00078-X</t>
  </si>
  <si>
    <t>WOS:000183867600012</t>
  </si>
  <si>
    <t>Ibáñez, JM; Almendros, J; Carmona, E; Martínez-Arévalo, C; Abril, M</t>
  </si>
  <si>
    <t>The recent seismo-volcanic activity at Deception Island volcano</t>
  </si>
  <si>
    <t>SOUTH-SHETLAND-ISLANDS; FLUID-DRIVEN CRACK; BRANSFIELD STRAIT; WEST ANTARCTICA; TREMOR; EARTHQUAKES; SEISMICITY; EXCITATION; EVOLUTION; RADIATION</t>
  </si>
  <si>
    <t>This paper reviews the recent seismic studies carried out at Deception Island, South Shetland Islands, Antarctica, which was monitored by the Argentinean and Spanish Antarctic Programs since 1986. Several types of seismic network have been deployed temporarily during each Antarctic summer. These networks have consisted of a variety of instruments, including radio-telemetered stations, autonomous digital seismic stations, broadband seismometers, and seismic arrays. We have identified two main types of seismic signals generated by the volcano, namely pure seismo-volcanic signals, such as volcanic tremor and long-period (LP) events, and volcano-tectonic (VT) earthquakes. Their temporal distributions are far from homogeneous. Volcanic tremors and LP events usually occur in seismic swarms lasting from a few hours to some days. The number of LP events in these swarms is highly variable, from a background level of less than 30/day to a peak activity of about 100 events/h. The occurrence of VT earthquakes is even more irregular. Most VT earthquakes at Deception Island have been recorded during two intense seismic crises, in 1992 and 1999, respectively. Some of these VT earthquakes were large enough to be felt by researchers working on the island. Analyses of both types of seismic events have allowed us to derive source locations, establish seismic source models, analyze seismic attenuation, calculate the energy and stress drop of the seismic sources, and relate the occurrence of seismicity to the volcanic activity. Pure seismo-volcanic signals are modelled as the consequence of hydrothermal interactions between a shallow aquifer and deeper hot materials, resulting in the resonance of fluid-filled fractures. VT earthquakes constitute the brittle response to changes in the distribution of stress in the volcanic edifice. The two VT seismic series are probably related to uplift episodes due to deep injections of magma that did not reach the surface. This evidence, however, indicates the high potential for future volcanic eruptions at Deception Island. (C) 2003 Elsevier Science Ltd. All rights reserved.</t>
  </si>
  <si>
    <t>Univ Granada, Inst Andaluz Geofis, E-18071 Granada, Spain</t>
  </si>
  <si>
    <t>University of Granada</t>
  </si>
  <si>
    <t>ibanez@iag.ugr.es</t>
  </si>
  <si>
    <t>IBANEZ, JESUS M/G-9910-2019; Almendros, Javier/M-2468-2014; Martinez-Arevalo, Carmen/L-6934-2014</t>
  </si>
  <si>
    <t>IBANEZ, JESUS M/0000-0002-9846-8781; Almendros, Javier/0000-0001-5936-6160; Martinez-Arevalo, Carmen/0000-0003-2570-4824; Abril, Miguel/0000-0001-8537-974X</t>
  </si>
  <si>
    <t>10-11</t>
  </si>
  <si>
    <t>10.1016/S0967-0645(03)00082-1</t>
  </si>
  <si>
    <t>696CJ</t>
  </si>
  <si>
    <t>WOS:000183867800002</t>
  </si>
  <si>
    <t>Smith, KL; Baldwin, RJ; Glatts, RC; Chereskin, TK; Ruhl, H; Lagun, V</t>
  </si>
  <si>
    <t>Weather, ice, and snow conditions at Deception Island, Antarctica: long time-series photographic monitoring</t>
  </si>
  <si>
    <t>CLIMATE-CHANGE; MARINE ECOSYSTEM; PENINSULA; TRANSPORT; SHELVES</t>
  </si>
  <si>
    <t>An autonomous weather station (Terrestrial station) was developed and deployed at Deception Island, Antarctica, an active volcanic island, to monitor the daily weather conditions as part of a long time-series marine ecosystem study of the sunken caldera, Port Foster. The principal components of the Terrestrial station were a time-lapse digital camera, ultrasonic wind sensor, controller, wind turbine generators, and batteries. The Terrestrial station was installed on a ridge at 200 in altitude overlooking Port Foster and the surrounding terrain from 9 March 1999 until 20 November 2000. Ice cover on Port Foster began in late July 2000 and was intermittently visible through early November. Daily averaged wind speeds ranged from 0.2 m s(-1) in October to 47.4 m s(-1) in June, with the prevailing direction from the southwest and less frequently from the northeast. Daily averaged air temperatures fluctuated from a low of -12.6degreesC in August 2000 to 2.7degreesC in March 1999. Weather conditions measured at Deception Island were generally consistent with those concurrently measured in the region of the South Shetland Islands. Ice cover in Port Foster was less pronounced in 1999 and 2000 than reported in previous years, suggesting regional warming. (C) 2003 Elsevier Science Ltd. All rights reserved.</t>
  </si>
  <si>
    <t>Univ Calif San Diego, Scripps Inst Oceanog, Div Marine Biol Res, La Jolla, CA 92093 USA; Univ Calif San Diego, Scripps Inst Oceanog, Phys Oceanog Res Div, La Jolla, CA 92093 USA; Russian Fed Serv Hydrometeorol &amp; Environm Moitori, Arctic &amp; Antarctic Res Inst, St Petersburg 199397, Russia</t>
  </si>
  <si>
    <t>University of California System; University of California San Diego; Scripps Institution of Oceanography; University of California System; University of California San Diego; Scripps Institution of Oceanography; Arctic &amp; Antarctic Research Institute</t>
  </si>
  <si>
    <t>Smith, KL (corresponding author), Univ Calif San Diego, Scripps Inst Oceanog, Div Marine Biol Res, 9500 Gilman Dr, La Jolla, CA 92093 USA.</t>
  </si>
  <si>
    <t>Chereskin, Teresa/0000-0003-1214-0978</t>
  </si>
  <si>
    <t>10.1016/S0967-0645(03)00084-5</t>
  </si>
  <si>
    <t>WOS:000183867800004</t>
  </si>
  <si>
    <t>Lenn, YD; Chereskin, TK; Glatts, RC</t>
  </si>
  <si>
    <t>Seasonal to tidal variability in currents, stratification and acoustic backscatter in an Antarctic ecosystem at Deception Island</t>
  </si>
  <si>
    <t>BRANSFIELD STRAIT; UPPER OCEAN; CIRCULATION; MIGRATION; PATTERNS; EASTERN; SCALE; WATER</t>
  </si>
  <si>
    <t>The annual cycle of the marine ecosystem of a semi-enclosed bay at Deception Island, Antarctica, was studied with moorings and cruises from March 1999 to November 2000. Moored observations of water temperature, currents and acoustic Doppler profiler (ADP) backscatter amplitude were made during the experiment. A camera and anemometer monitored winds and ice cover from the northern ridge. We estimate that water parcels inside Deception Island have a mean residence time of 2.4 years, and a 1% volume exchange occurs over each tidal cycle. Seasonal and diurnal processes dominated water temperature and current variability. ADP backscatter amplitude was consistent with the diel migration of zooplankton. (C) 2003 Elsevier Science Ltd. All rights reserved.</t>
  </si>
  <si>
    <t>Univ Calif San Diego, Scripps Inst Oceanog, San Diego, CA 92103 USA</t>
  </si>
  <si>
    <t>University of California System; University of California San Diego; Scripps Institution of Oceanography</t>
  </si>
  <si>
    <t>Univ Calif San Diego, Scripps Inst Oceanog, San Diego, CA 92103 USA.</t>
  </si>
  <si>
    <t>ylenn@ucsd.edu</t>
  </si>
  <si>
    <t>Chereskin, Teresa/0000-0003-1214-0978; Lenn, Yueng-Djern/0000-0001-6031-523X</t>
  </si>
  <si>
    <t>10.1016/S0967-0645(03)00085-7</t>
  </si>
  <si>
    <t>WOS:000183867800005</t>
  </si>
  <si>
    <t>Sturz, AA; Gray, SC; Dykes, K; King, A; Radtke, J</t>
  </si>
  <si>
    <t>Seasonal changes of dissolved nutrients within and around Port Foster Deception Island, Antarctica</t>
  </si>
  <si>
    <t>BRANSFIELD STRAIT; INORGANIC NITROGEN; BASIN</t>
  </si>
  <si>
    <t>Temporal and spatial distribution of dissolved macronutrients (ammonia, nitrate, phosphate and silica) and productivity were investigated within and around Port Foster, the flooded 160-m-deep caldera of Deception Island, Antarctica. This study was part of the Erupt Project, which included five seasonal cruises over a complete annual cycle during 1999-2000. Seawater samples were collected and physical properties were monitored from seven stations within Port Foster and 12 stations in the adjacent Bransfield Strait. In addition, shallow-water and beach interstitial-water samples were collected along the shorelines of the peripheral coves. Port Foster macronutrient/depth profiles were typical for a normal shallow seawater column in a polar region. The water column in early austral spring was well mixed and changed to a stratified water column with a weak thermocline during the summer. By early winter, the thickness of the well-mixed surface layer increased until the entire water column returned to well-mixed conditions. This early winter transition from stratified conditions to well-mixed conditions occurred in June and appeared to be abrupt. During the seasons of light limitation and low-primary productivity, local currents were effective at redistributing dissolved biochemical components throughout the bay. During the summer season, the dissolved nutrient and oxygen distributions reflected consumption of nutrients by primary producers. The mid-depth maximum observed in the ammonia profiles implies the excretion of metabolites from resident animal populations. Residence time of dissolved ammonia must have been shorter than the circulation time within Port Foster because ammonia is not as uniformly distributed during the summer months as it was during the winter and spring. Dissolved nitrate concentrations in the Bransfield Strait during this study were similar to those measured in previous studies. The mean concentrations of phosphate, nitrate, and silica in the beach interstitial samples were significantly higher (2.8-9.5 times) than in the shore, offshore and CTD samples. Possible sources for the high phosphate, nitrate, and ammonia concentrations in the beach interstitial and shore waters include decaying organic matter and bird and mammal excrement. Elevated silica concentrations appear to be associated with hydrothermal heating of beach and near-shore waters. However, the elevated macronutrient concentrations measured in the beach interstitial water were not traceable beyond 5m of the shoreline. Phytoplankton biomass in Port Foster exhibited temporal variability similar to other coastal and continental shelf zones (CCZ) of the Antarctic Peninsula. Blooms in February and November 2000 were dominated by the centric diatoms Thalassiosira spp. and Rhizosolenia spp. Chlorophyll a (chl a) values of 15 and 19 mg m(-3) in Port Foster during these blooms were comparable to maximum-recorded levels in western Antarctic Peninsula CCZ (30-40 mg chl a m(-3)), while chl a values from November 1999 and June 2000 (non-bloom conditions) corresponded to historical monthly chl a averages of western Antarctic Peninsula CCZ (&lt;5mg m(-3)). During blooms, phytoplankton standing stock could account for about 15 muM nitrate, which corresponds to the observed surface nitrate depletion. (C) 2003 Elsevier Science Ltd. All rights reserved.</t>
  </si>
  <si>
    <t>Univ San Diego, Marine &amp; Environm Studies Program, San Diego, CA 92110 USA; Univ Calif San Diego, Scripps Inst Oceanog, La Jolla, CA 92093 USA; Univ Wisconsin, Dept Biol, Fond Du Lac, WI 54935 USA</t>
  </si>
  <si>
    <t>University of San Diego; University of California System; University of California San Diego; Scripps Institution of Oceanography; University of Wisconsin System</t>
  </si>
  <si>
    <t>Univ San Diego, Marine &amp; Environm Studies Program, 5998 Alcala Pk, San Diego, CA 92110 USA.</t>
  </si>
  <si>
    <t>asturz@sandiego.edu</t>
  </si>
  <si>
    <t>10.1016/S0967-0645(03)00086-9</t>
  </si>
  <si>
    <t>WOS:000183867800006</t>
  </si>
  <si>
    <t>Gray, SC; Sturz, A; Bruns, MD; Marzan, RL; Dougherty, D; Law, HB; Brackett, JE; Marcou, M</t>
  </si>
  <si>
    <t>Composition and distribution of sediments and benthic foraminifera in a submerged caldera after 30 years of volcanic quiescence</t>
  </si>
  <si>
    <t>SOUTH SHETLAND-ISLANDS; DECEPTION-ISLAND; BRANSFIELD STRAIT; ASH LAYER; ANTARCTICA; ERUPTION; BASIN; SEA; ICE; TEPHROCHRONOLOGY</t>
  </si>
  <si>
    <t>Deception Island (62degrees59'S, 60degrees34'W) is an active volcano with a submerged caldera (Port Foster) located northwest of the Antarctic Peninsula. Surveys following the most recent eruption of the volcano in 1970 showed that direct deposition of coarse pyroclastics into Port Foster decimated the benthic communities. The objective of this study is to examine how the submarine sediment distributions and the composition, distribution and abundance of benthic foraminiferal communities in Port Foster have changed after 30 years of volcanic quiescence. Grab, core and settling particulate matter were collected on a series of five cruises during 1999-2000 to monitor seasonal changes in the ecosystem of Port Foster. The caldera, floor is covered with a layer at least 15 cm thick of yellowish-brown volacaniclastic sandy mud composed primarily of basaltic-andesitic lithic fragments and volcanic glass with mean and median grain diameters of 26 +/- 10 and 32 +/- 12 mum, respectively. We suggest that these sandy muds were deposited since the last volcanic eruption in 1970, yielding a minimum sediment accumulation rate of at least 5 mm/year. Settling particulate matter during the fall, winter and spring of 1999 and 2000 were finer grained than the seafloor samples, with mean and median grain diameters of 11 +/- 2 and 13 +/- 3 mum, respectively. Except for a slight coarsening of the mean grain diameter in the late spring, we observed no temporal changes in either the granulometry or the mineralogy of the settling particulate matter. The concentration of biogenous sediment in Port Foster is relatively low due to dilution by a high volume of lithogenic material being deposited in the bay. The abundance (from foraminifera numbers) and diversity of benthic foraminifera, within Port Foster is spatially variable and patchy. Although previous studies of the benthic foraminiferal community following the 1967-1970 eruptions showed an increase in abundance (foraminifera number) of Port Foster's benthic foraminifera community from 1972 to 1976, our data show that these increases did not continue beyond the mid-1970s. The most notable similarities between the mid-1970s and 2000 assemblages are the predominance of Miliammina arenacea and Trochammina malovensis in Port Foster. Since the 1970s, there has been an increase in importance of Globocassidulina (the most abundant genera), a decrease in the relative abundance of Stainforthia fusiformis and Nonionella bradii, and the introduction of Reophax dentaliniformis, and Cassidulinoides parkerianus, which were not abundant in either Port Foster or on the outer slopes surrounding the flanks Deception Island during the 1970s. The later arrival of R. dentaliniformis to Port Foster suggests that it is not a pioneer colonizer following disturbance in all environments. (C) 2003 Elsevier Science Ltd. All rights reserved.</t>
  </si>
  <si>
    <t>Univ San Diego, Marine &amp; Environm Studies Program, San Diego, CA 92110 USA</t>
  </si>
  <si>
    <t>University of San Diego</t>
  </si>
  <si>
    <t>sgray@sandiego.edu</t>
  </si>
  <si>
    <t>10.1016/S0967-0645(03)00090-0</t>
  </si>
  <si>
    <t>WOS:000183867800008</t>
  </si>
  <si>
    <t>Cullen, M; Kaufmann, RS; Lowery, MS</t>
  </si>
  <si>
    <t>Seasonal variation in biochemical indicators of physiological status in Euphausia superba from Port Foster, Deception Island, Antarctica</t>
  </si>
  <si>
    <t>SOUTHERN-OCEAN; WEDDELL SEA; ICE-EDGE; KRILL; GROWTH; METABOLISM; MUSCLE; SIZE; COPEPODS; SECTOR</t>
  </si>
  <si>
    <t>Seasonal changes in biochemical indicators of physiological status were analyzed in abdominal muscle of the Antarctic krill, Euphausia superba, collected from Port Foster, Deception Island, an active volcano located in the Shetland Island chain west of the Antarctic Peninsula. Krill were collected with a 10m(2) MOCNESS trawl during four cruises (November 1999, February, May, November 2000). RNA:DNA mirrored the chlorophyll a concentration, with the highest values found during seasons of abundant phytoplankton. Activities of the glycolytic enzyme lactate dehydrogenase (LDH) and the mitochondrial enzyme citrate synthase (CS) were significantly higher in male krill when compared to females of similar size, indicating that their burst and aerobic swimming performance may be higher than females throughout the year. RNA:DNA ratio and enzyme activities were highly elevated in summer as compared to the earliest spring sampling period. Krill showed significant seasonal changes in LDH activity, with lowest values in spring and highest values in summer (females) or autumn (males). Krill showed significant seasonal changes in CS activity with highest values in summer. Protein and % water varied significantly among seasons for both males and females. Lower CS activity and RNA:DNA ratio suggest krill exhibit reduced metabolism during the winter when phytoplankton production is reduced, perhaps enhancing survival. Lower enzyme activities in female krill in early spring suggest they may achieve greater metabolic suppression during overwintering. (C) 2003 Elsevier Science Ltd. All rights reserved.</t>
  </si>
  <si>
    <t>Univ San Diego, Dept Biol, Marine &amp; Environm Studies Program, San Diego, CA 92110 USA</t>
  </si>
  <si>
    <t>Lowery, MS (corresponding author), Univ San Diego, Dept Biol, Marine &amp; Environm Studies Program, 5998 Alcala Pk, San Diego, CA 92110 USA.</t>
  </si>
  <si>
    <t>10.1016/S0967-0645(03)00088-2</t>
  </si>
  <si>
    <t>WOS:000183867800011</t>
  </si>
  <si>
    <t>Lovell, LL; Trego, KD</t>
  </si>
  <si>
    <t>The epibenthic megafaunal and benthic infaunal invertebrates of Port Foster, Deception Island (South Shetland Islands, Antarctica)</t>
  </si>
  <si>
    <t>KING-GEORGE-ISLAND; ADMIRALTY BAY; COMMUNITY; BIOMASS; FAUNA</t>
  </si>
  <si>
    <t>Otter trawl and grab samples (0.3 mm sieve) collected in Port Foster, Deception Island, from March 1999 to November 2000 as part of the ERUPT Antarctic ecosystem study were used to assess the status of the epibenthic megafaunal and benthic infaunal communities, which were heavily impacted by the volcanic eruptions of 1967-1970. Additional otter trawls were collected in coastal waters off Livingston and King George Islands to compare the epibenthic megafauna community of Port Foster with that of open coastal Antarctic environments. The epibenthic and infaunal communities of mid-bay Port Foster have significantly recovered since 1967 when mid-bay dredge and grab samples yielded a total of four individuals in two dredge hauls and an infaunal abundance of 40 individuals m(-2). Port Foster trawls from this study yielded an average of 26.2 taxa for the five sampling dates, with a cumulative total of 68 taxa. The epibenthic community at Port Foster was primarily composed of deposit feeding taxa with the ophiuroid, Ophionotus victoriae the dominant organism. Livingston and King George trawls yielded a total of 99 and 135 taxa, respectively, with a dominant suspension-feeding community of sponges and tunicates supporting a more diverse rich epibenthic fauna. Benthic infaunal abundance and biomass averaged 85,566.3 individuals m(-2) and 21.951 g m(-2). Foraminifera, nematodes, and polychaetes were the most abundant infauna in Port Foster sediments representing 59.05%, 17.48% and 16.38% of total abundance, respectively. Bivalve mollusks and polychaetes were the major contributors to the biomass, with 48.375% and 45.294% of total wet weight, respectively. Abundant populations of microbiota (foraminiferans) and meiofauna (nematodes) suggest that, as in other benthic habitats, these small but numerous organisms play a key role in carbon utilization and the food web. Sediment type and food resources are major factors controlling the benthic community structures of Port Foster and Livingston and King George Islands. The accumulation of sediments in Port Foster from wind and melt-runoff associated with past volcanic activity limits the suspension feeding community and is a possible source of metals contamination. Warming of the Antarctic polar environment will likely increase sedimentation at Port Foster and open coastal areas as glaciers melt and land surfaces are exposed to wind and rain. (C) 2003 Elsevier Science Ltd. All rights reserved.</t>
  </si>
  <si>
    <t>Univ Calif San Diego, Scripps Inst Oceanog, Benth Invertebrate Collect, La Jolla, CA 92093 USA; Nautilis Ocean Inst, La Jolla, CA 92037 USA</t>
  </si>
  <si>
    <t>Lovell, LL (corresponding author), Univ Calif San Diego, Scripps Inst Oceanog, Benth Invertebrate Collect, 9500 Gilman Dr,MS-0244, La Jolla, CA 92093 USA.</t>
  </si>
  <si>
    <t>10.1016/S0967-0645(03)00087-0</t>
  </si>
  <si>
    <t>WOS:000183867800012</t>
  </si>
  <si>
    <t>Ruhl, HA; Hastings, PA; Zarubick, LA; Jensen, RM; Zdzitowiecki, K</t>
  </si>
  <si>
    <t>Fish populations of Port Foster, Deception Island, Antarctica and vicinity</t>
  </si>
  <si>
    <t>WEDDELL SEA; PLEURAGRAMMA-ANTARCTICUM; STOMACH CONTENTS; FEEDING ECOLOGY; ROSS-SEA; SOUTHERN; FAUNA; FOOD; CHANNICHTHYIDAE; NOTOTHENIIDAE</t>
  </si>
  <si>
    <t>The fish populations of Port Foster, Deception Island, South Shetland Islands, Antarctica, were investigated as part of the Erupt Antarctic ecosystem study. Surveys were conducted on five cruises between March 1999 and November 2000. Samples also were collected off Livingston Island and King George Island of the South Shetland Islands. Specimens were collected or observed using a multiple opening and closing net and environmental sampling system, otter trawls, benthic line-transect photography, and remotely operated vehicle video. Species composition, length, weight.. reproductive condition, diet, habitat, and parasitic infestation were examined for the dominant fish species. Eleven species were collected, all in the suborder Notothenioidei. The fishes found in the survey are known to occur in the region and had diets similar to those found in other studies. Abundances of demersal fishes in Port Foster ranged from 0.05 to 0.10 individuals m(-2) over the study period. Inshore shallow-water (&lt;30m) and inshore deep-water (&gt;30m) habitats are identified in Port Foster and described. Port Foster may be a refuge for juvenile fishes such as Champsocephalus gunnari. Limited exchange with the surrounding waters also may limit the influence of recruitment and prey abundance fluctuations outside Port Foster. Trematomus scotti had heavy body cavity parasite infestation from Port Foster, possibly due in part to decreased benthic scour from large icebergs, allowing benthic parasites to persist. (C) 2003 Elsevier Science Ltd. All rights reserved.</t>
  </si>
  <si>
    <t>Univ Calif San Diego, Scripps Inst Oceanog, Div Marine Biol Res, La Jolla, CA 92093 USA; Polish Acad Sci, Inst Parasitol, PL-00818 Warsaw, Poland</t>
  </si>
  <si>
    <t>University of California System; University of California San Diego; Scripps Institution of Oceanography; Polish Academy of Sciences</t>
  </si>
  <si>
    <t>Ruhl, HA (corresponding author), Univ Calif San Diego, Scripps Inst Oceanog, Div Marine Biol Res, La Jolla, CA 92093 USA.</t>
  </si>
  <si>
    <t>Hastings, Philip/0000-0002-9867-6601</t>
  </si>
  <si>
    <t>10.1016/S0967-0645(03)00094-8</t>
  </si>
  <si>
    <t>WOS:000183867800014</t>
  </si>
  <si>
    <t>Kendall, KA; Ruhl, HA; Wilson, RC</t>
  </si>
  <si>
    <t>Distribution and abundance of marine bird and pinniped populations within Port Foster, Deception Island, Antarctica</t>
  </si>
  <si>
    <t>KING GEORGE ISLAND; SOUTH SHETLAND; FUR SEALS; ARCTOCEPHALUS-GAZELLA; HARMONY POINT; HEARD ISLAND; DIET; SEABIRDS; PENGUINS; KRILL</t>
  </si>
  <si>
    <t>Seabirds and pinnipeds were surveyed during four cruises from March 1999 to November 2000 at Port Foster, Deception Island, Antarctica. Abundances and distributions of three species of pinnipeds, Arctocephalus gazella (Antarctic fur seals), Leptonychotes weddelli (Weddell seals), and Lobodon carcinophagus (crabeater seals), and 11 species of marine birds were documented within Port Foster. A. gazella was the dominant pinniped within Port Foster; its abundance has increased since the 1986/87 austral summer season. A. gazella were concentrated at the entrance to Port Foster. More pinnipeds were observed during the austral summer than during the spring. The most dominant seabird, Pygoscelis antarctica (chinstrap penguin), was concentrated along the rocky cliffs behind the beaches where A. gazella hauled out. Larus dominicanus (kelp gull) and Daption capense (cape petrel) were the most dominant flying seabirds. All other seabird species were more widely distributed around Port Foster than P. antarctica. There was no clear trend in abundances of seabirds over the study period. It is possible that the protected area of Port Foster provides refuge for vagrants of colonies along the outer periphery of the island and as a stopover point for migrating species. (C) 2003 Published by Elsevier Science Ltd.</t>
  </si>
  <si>
    <t>Univ San Diego, San Diego, CA 92110 USA; Univ Calif San Diego, Scripps Inst Oceanog, Div Marine Biol Res, La Jolla, CA 92093 USA; Scripps Inst Oceanog, Shipboard Tech Serv, San Diego, CA 92106 USA</t>
  </si>
  <si>
    <t>University of San Diego; University of California System; University of California San Diego; Scripps Institution of Oceanography; University of California System; University of California San Diego; Scripps Institution of Oceanography</t>
  </si>
  <si>
    <t>Univ San Diego, 5998 Alcala Pk, San Diego, CA 92110 USA.</t>
  </si>
  <si>
    <t>katrinakendall@hotmail.com</t>
  </si>
  <si>
    <t>Wilson, Robert Christopher/JBJ-2758-2023</t>
  </si>
  <si>
    <t>Wilson, Robert Christopher/0000-0002-9668-4691</t>
  </si>
  <si>
    <t>10.1016/S0967-0645(03)00096-1</t>
  </si>
  <si>
    <t>WOS:000183867800016</t>
  </si>
  <si>
    <t>Dinniman, MS; Klinck, JM; Smith, WO</t>
  </si>
  <si>
    <t>Cross-shelf exchange in a model of the Ross Sea circulation and biogeochemistry</t>
  </si>
  <si>
    <t>PENINSULA CONTINENTAL-SHELF; WATER MASS-DISTRIBUTION; ANTARCTIC PENINSULA; WEDDELL-SEA; NUMERICAL-MODEL; SOUTHERN-OCEAN; SURFACE FLUXES; MIXED-LAYER; ICE; PHYTOPLANKTON</t>
  </si>
  <si>
    <t>Transport of warm, nutrient-rich Circumpolar Deep Water (CDW) onto Antarctic continental shelves and coastal seas has important effects on physical and biological processes. The present study investigates the locations of this transport and its dynamics in the Ross Sea with a high-resolution three-dimensional numerical model. The model circulation is forced by daily wind stress along with heat and salt fluxes calculated from atmospheric climatologies by bulk formulae. All surface fluxes are modified by an imposed climatological ice cover. Waters under the Ross Ice Shelf are not included explicitly, but their effect on temperature and salinity is imposed in a buffer zone at the southern end of the model domain. A simple nutrient uptake is calculated based on the climatological chlorophyll distribution and Monod uptake kinetics. Model circulation is strongly affected by bottom topography, due to weak stratification, and agrees with schematics of the general flow and long-term current measurements except near the southern boundary. The sea-surface temperature is similar to satellite estimates except that the warmest simulated temperatures are slightly higher than observations. There is a significant correlation between the curvature of the shelf break and the transport across the shelf break. A momentum term balance shows that momentum advection helps to force flow across the shelf break in specific locations due to the curvature of the bathymetry (that is, the isobaths curve in front of the flow). For the model to create a strong intrusion of CDW onto the shelf, it appears two mechanisms are necessary. First, CDW is driven onto the shelf at least partially due to momentum advection and the curvature of the shelf break; then, the general circulation on the shelf takes the CDW into the interior. (C) 2003 Elsevier Ltd. All rights reserved.</t>
  </si>
  <si>
    <t>Old Dominion Univ, Ctr Coastal Phys Oceanog, Norfolk, VA 23529 USA; Coll William &amp; Mary, Virginia Inst Marine Sci, Gloucester Point, VA 23062 USA</t>
  </si>
  <si>
    <t>Old Dominion University; William &amp; Mary; Virginia Institute of Marine Science</t>
  </si>
  <si>
    <t>Dinniman, MS (corresponding author), Old Dominion Univ, Ctr Coastal Phys Oceanog, Norfolk, VA 23529 USA.</t>
  </si>
  <si>
    <t>Dinniman, Michael/0000-0001-7519-9278; Klinck, John/0000-0003-4312-5201</t>
  </si>
  <si>
    <t>22-26</t>
  </si>
  <si>
    <t>10.1016/j.dsr2.2003.07.011</t>
  </si>
  <si>
    <t>757ZE</t>
  </si>
  <si>
    <t>WOS:000187607400012</t>
  </si>
  <si>
    <t>Hofmann, EE; Hüsrevoglu, YS</t>
  </si>
  <si>
    <t>A circumpolar modeling study of habitat control of Antarctic krill (Euphausia superba) reproductive success</t>
  </si>
  <si>
    <t>PENINSULA CONTINENTAL-SHELF; VERTICAL DISTRIBUTION; ELEPHANT ISLAND; SINKING RATES; WATER MASSES; WEDDELL SEA; SLOPE FRONT; DANA; EGGS; VARIABILITY</t>
  </si>
  <si>
    <t>A one-dimensional, temperature-dependent model is implemented to simulate the descent-ascent cycle of Antarctic krill (Euphausia superba) embryos and larvae. Inputs to the model are monthly mean climatologies of ambient temperature and density fields obtained from the World Ocean Atlas Database for Southern Ocean waters. Simulations are done with a 1degrees resolution at a circumpolar scale, south of 60degreesS, and the results are interpolated to a 5' grid to match the resolution of the bottom bathymetry data. Simulations of the descent-ascent cycle using environmental conditions corresponding to the Antarctic krill spawning season (December-March) resulted in unconstrained success in completion of the cycle in water deeper than 1000 in. Continental shelf regions favorable to successful hatching of Antarctic krill embryos are limited to areas along the west Antarctic Peninsula, large areas in the Bellingshausen and Amundsen Seas, offshore of Wilkes Land, and to the east and west of Prydz Bay. These are regions where the Southern Antarctic Circumpolar Current Front is along the shelf slope, the Antarctic Slope Front is absent, and Circumpolar Deep Water is present. The effect of seasonal variability in temperature on the descent-ascent cycle tends to enhance the probability of success in regions offshore of Wilkes Land, Queen Maud Land, and the eastern shelf of the Antarctic Peninsula later in the spawning season. The simulations show that success of the descent-ascent cycle is sensitive to initial embryo diameter and larval ascent rate. Initial embryo diameter may provide an additional constraint on success of the descent-ascent cycle, especially in continental shelf waters, where small embryos tend to encounter the bottom before hatching. The circumpolar distributions of simulated embryo hatching depth and larval success show that all regions of the Antarctic are not equal in the ability to support successful completion of the Antarctic krill descent-ascent cycle, which has implications for the overall circum-Antarctic krill distribution and for the development of nutrient and material budgets, especially for Antarctic continental shelf areas. (C) 2003 Elsevier Ltd. All rights reserved.</t>
  </si>
  <si>
    <t>Old Dominion Univ, Ctr Coastal Phys Oceanog, Norfolk, VA 23529 USA</t>
  </si>
  <si>
    <t>Old Dominion University</t>
  </si>
  <si>
    <t>Hofmann, EE (corresponding author), Old Dominion Univ, Ctr Coastal Phys Oceanog, Crittenton Hall, Norfolk, VA 23529 USA.</t>
  </si>
  <si>
    <t>Husrevoglu, Sinan/M-2335-2014</t>
  </si>
  <si>
    <t>Husrevoglu, Sinan/0000-0003-0548-9979</t>
  </si>
  <si>
    <t>10.1016/j.dsr2.2003.07.012</t>
  </si>
  <si>
    <t>WOS:000187607400013</t>
  </si>
  <si>
    <t>Gregg, WW; Ginoux, P; Schopf, PS; Casey, NW</t>
  </si>
  <si>
    <t>Phytoplankton and iron: validation of a global three-dimensional ocean biogeochemical model</t>
  </si>
  <si>
    <t>EQUATORIAL PACIFIC-OCEAN; TROPICAL NORTH-ATLANTIC; SUB-ARCTIC PACIFIC; SOUTHERN-OCEAN; MARINE-PHYTOPLANKTON; COMMUNITY STRUCTURE; ARABIAN SEA; COCCOLITHOPHORE BLOOM; SKELETONEMA-COSTATUM; DUNALIELLA-TERTIOLECTA</t>
  </si>
  <si>
    <t>The JGOFS program and NASA ocean-color satellites have provided a wealth of data that can be used to test and validate models of ocean biogeochemistry. A coupled three-dimensional general circulation, biogeochemical, and radiative model of the global oceans was validated using these in situ data sources and satellite data sets. Biogeochemical processes in the model were determined from the influences of circulation and turbulence dynamics, irradiance availability, and the interactions among four phytoplankton functional groups (diatoms, chlorophytes, cyanobacteria, and coccolithophores) and four nutrients (nitrate, ammonium, silica, and dissolved iron). Annual mean log-transformed dissolved iron concentrations in the model were statistically positively correlated on basin scale with observations (P&lt;0.05) over the eight (out of 12) major oceanographic basins where data were available. The model tended to overestimate in situ observations, except in the Antarctic where a large underestimate occurred. Inadequate scavenging and excessive remineralization and/or regeneration were possible reasons for the overestimation. Basin scale model chlorophyll seasonal distributions were positively correlated with SeaWiFS chlorophyll in each of the 12 oceanographic basins (P&lt;0.05). The global mean difference was 3.9% (model higher than SeaWiFS). The four phytoplankton groups were initialized as homogeneous and equal distributions throughout the model domain. After 26 years of simulation, they arrived at reasonable distributions throughout the global oceans: diatoms predominated high latitudes, coastal, and equatorial upwelling areas, cyanobacteria predominated the mid-ocean gyres, and chlorophytes and coccolithoph ores represented transitional assemblages. Seasonal patterns exhibited a range of relative responses: from a seasonal succession in the North Atlantic with coccolithoph ores replacing diatoms as the dominant group in mid-summer, to successional patterns with cyanobacteria replacing diatoms in mid-summer in the central North Pacific. Diatoms were associated with regions where nutrient availability was high. Cyanobacteria predominated in quiescent regions with low nutrients. While the overall patterns of phytoplankton functional group distributions exhibited broad qualitative agreement with in situ data, quantitative comparisons were mixed. Three of the four phytoplankton groups exhibited statistically significant correspondence across basins. Diatoms did not. Some basins exhibited excellent correspondence, while most showed moderate agreement, with two functional groups in agreement with data and the other two in disagreement. The results are encouraging for a first attempt at simulating functional groups in a global ccupled three-dimensional model but many issues remain. (C) 2003 Elsevier Ltd. All rights reserved.</t>
  </si>
  <si>
    <t>NASA, Goddard Space Flight Ctr, Lab Hydrospher Proc, Greenbelt, MD 20771 USA; NOAA, Geophys Fluid Dynam Lab, Princeton, NJ 08542 USA; George Mason Univ, Sch Computat Sci, Climate Dynam Program, Fairfax, VA 22030 USA; Sci Syst &amp; Appl Inc, Lanham, MD 20706 USA</t>
  </si>
  <si>
    <t>National Aeronautics &amp; Space Administration (NASA); NASA Goddard Space Flight Center; National Oceanic Atmospheric Admin (NOAA) - USA; George Mason University</t>
  </si>
  <si>
    <t>Gregg, WW (corresponding author), NASA, Goddard Space Flight Ctr, Lab Hydrospher Proc, Greenbelt, MD 20771 USA.</t>
  </si>
  <si>
    <t>Ginoux, Paul/C-2326-2008</t>
  </si>
  <si>
    <t>Casey, Nancy/0009-0001-7709-889X</t>
  </si>
  <si>
    <t>10.1016/j.dsr2.2003.07.013</t>
  </si>
  <si>
    <t>WOS:000187607400014</t>
  </si>
  <si>
    <t>Sediment distribution and sedimentary processes across the Antarctic Wilkes Land margin during the Quaternary (vol 50, pg 1481, 2003)</t>
  </si>
  <si>
    <t>Correction</t>
  </si>
  <si>
    <t>Univ Granada, CSIC, Fac Ciencias, Inst Andaluz Ciencias Tierra, Granada 18002, Spain; Calif State Univ Hayward, Hayward, CA 94542 USA; Texas A&amp;M Univ, Ocean Drilling Program, College Stn, TX 77845 USA; Univ Salamanca, Fac Ciencias, E-37008 Salamanca, Spain; Columbia Univ, Lamont Doherty Geol Observ, Palisades, NY 10964 USA; Univ Barcelona, E-08028 Barcelona, Spain</t>
  </si>
  <si>
    <t>University of Granada; Consejo Superior de Investigaciones Cientificas (CSIC); CSIC - Instituto Andaluz de Ciencias de la Tierra (IACT); California State University System; California State University East Bay; Texas A&amp;M University System; Texas A&amp;M University College Station; University of Salamanca; Columbia University; University of Barcelona</t>
  </si>
  <si>
    <t>Escutia, C (corresponding author), Univ Granada, CSIC, Fac Ciencias, Inst Andaluz Ciencias Tierra, Campus Fuentenueva S-N, Granada 18002, Spain.</t>
  </si>
  <si>
    <t>Escutia, Carlota/B-8614-2015; Barcena, María Angeles/D-5839-2011; Canals, Miquel/F-4922-2013</t>
  </si>
  <si>
    <t>Barcena, María Angeles/0000-0001-8261-2286; Canals, Miquel/0000-0001-5267-7601</t>
  </si>
  <si>
    <t>10.1016/j.dsr2.2003.10.001</t>
  </si>
  <si>
    <t>WOS:000187607400018</t>
  </si>
  <si>
    <t>Udintsev, GB; Arntz, V; Udintsev, VG; Schenke, H; Lindner, K; Kruse, I</t>
  </si>
  <si>
    <t>New data on structure of the Scotia Island Arc, Western Antarctic</t>
  </si>
  <si>
    <t>DOKLADY EARTH SCIENCES</t>
  </si>
  <si>
    <t>SEA; FLOOR</t>
  </si>
  <si>
    <t>VI Vernadskii Inst Geochem &amp; Analyt Chem, Moscow 117975, Russia; Alfred Wegener Inst Polar &amp; Marine Res, D-2850 Bremerhaven, Germany; Inst Geodesy &amp; Cartog, Hannover, Germany</t>
  </si>
  <si>
    <t>Russian Academy of Sciences; Vernadsky Institute of Geochemistry &amp; Analytical Chemistry; Helmholtz Association; Alfred Wegener Institute, Helmholtz Centre for Polar &amp; Marine Research</t>
  </si>
  <si>
    <t>Udintsev, GB (corresponding author), VI Vernadskii Inst Geochem &amp; Analyt Chem, Ul Kosygina 19, Moscow 117975, Russia.</t>
  </si>
  <si>
    <t>INTERPERIODICA</t>
  </si>
  <si>
    <t>BIRMINGHAM</t>
  </si>
  <si>
    <t>PO BOX 1831, BIRMINGHAM, AL 35201-1831 USA</t>
  </si>
  <si>
    <t>1028-334X</t>
  </si>
  <si>
    <t>DOKL EARTH SCI</t>
  </si>
  <si>
    <t>Dokl. Earth Sci.</t>
  </si>
  <si>
    <t>Geosciences, Multidisciplinary</t>
  </si>
  <si>
    <t>Geology</t>
  </si>
  <si>
    <t>646UM</t>
  </si>
  <si>
    <t>WOS:000181053500023</t>
  </si>
  <si>
    <t>Udintsev, GB; Arntz, W; Udintsev, VG; Schenke, HW; Lindner, K; Kruse, J</t>
  </si>
  <si>
    <t>New data on the structure of the discovery rise, Scotia Sea, Western Antarctic</t>
  </si>
  <si>
    <t>FLOOR</t>
  </si>
  <si>
    <t>VI Vernadskii Inst Geochem &amp; Analyt Chem, GEOKhI, Moscow 117975, Russia; Alfred Wegener Inst Polar &amp; Marine Res, D-2850 Bremerhaven, Germany; Inst Cartog &amp; Geodesy, Hannover, Germany</t>
  </si>
  <si>
    <t>Udintsev, GB (corresponding author), VI Vernadskii Inst Geochem &amp; Analyt Chem, GEOKhI, Ul Kosygina 19, Moscow 117975, Russia.</t>
  </si>
  <si>
    <t>WOS:000181053500031</t>
  </si>
  <si>
    <t>Long, DG; Ashcraft, IS; Luke, JB</t>
  </si>
  <si>
    <t>Barnes, WL</t>
  </si>
  <si>
    <t>Radar scatterometer observations of sastrugi on the great ice sheets</t>
  </si>
  <si>
    <t>EARTH OBSERVING SYSTEMS VIII</t>
  </si>
  <si>
    <t>PROCEEDINGS OF THE SOCIETY OF PHOTO-OPTICAL INSTRUMENTATION ENGINEERS (SPIE)</t>
  </si>
  <si>
    <t>Conference on Earth Observing Systems VIII</t>
  </si>
  <si>
    <t>AUG 03-06, 2003</t>
  </si>
  <si>
    <t>SAN DIEGO, CA</t>
  </si>
  <si>
    <t>scatterometer; SeaWinds; radar backscatter; ocean winds; QuikSCAT radar equation</t>
  </si>
  <si>
    <t>The SeaWinds instrument on the QuikSCAT satellite was designed to measure near surface winds over the ocean; however, this remarkable remote sensing instrument has proven very useful in polar ice studies. Unlike previous radar scatterometers. which were limited to 2 or 3 azimuth angles, the Ku-band SeaWinds instrument uses a circular scanning pencil beam, allowing it to make radar backscatter measurements from all azimuth angles. This geometry makes it an ideal candidate for studies of azimuth modulation of the normalized radar cross section of natural surfaces. Previous studies have observed a second order azimuth modulation of radar backscatter on the Antarctic ice sheet, which has been related to wind-generated sastrugi (snow dunes) on the surface. In this paper we use SeaWinds data to make more detailed studies of the azimuth modulation in both Antarctica and Greenland where little has been done. Using the higher azimuth resolution possible with SeaWinds, we find that the azimuth variation of the backscatter is better described using a fourth order model in areas with the highest modulation. The orientation of these fourth order terms appears to be highly correlated to the katabatic wind direction. Azimuth modulation is also observed over Greenland, but it is much smaller than over Antarctica. Comparing SeaWinds and ERS-1/2 scatterometer mode data we examine the frequency dependence, finding the modulation larger at C-band than Ku-band. The largest azimuth modulation in Greenland is observed in the transition region between dry snow and percolation zones.</t>
  </si>
  <si>
    <t>Brigham Young Univ, Provo, UT 84602 USA</t>
  </si>
  <si>
    <t>Brigham Young University</t>
  </si>
  <si>
    <t>Long, DG (corresponding author), Brigham Young Univ, 459 Clyde Bldg, Provo, UT 84602 USA.</t>
  </si>
  <si>
    <t>Luke, JB/GVT-8869-2022; Long, David G./K-4908-2015</t>
  </si>
  <si>
    <t>Long, David G./0000-0002-1852-3972</t>
  </si>
  <si>
    <t>SPIE-INT SOC OPTICAL ENGINEERING</t>
  </si>
  <si>
    <t>BELLINGHAM</t>
  </si>
  <si>
    <t>1000 20TH ST, PO BOX 10, BELLINGHAM, WA 98227-0010 USA</t>
  </si>
  <si>
    <t>0277-786X</t>
  </si>
  <si>
    <t>0-8194-5024-3</t>
  </si>
  <si>
    <t>P SOC PHOTO-OPT INS</t>
  </si>
  <si>
    <t>10.1117/12.506291</t>
  </si>
  <si>
    <t>Engineering, Aerospace; Instruments &amp; Instrumentation; Remote Sensing; Optics; Imaging Science &amp; Photographic Technology</t>
  </si>
  <si>
    <t>Engineering; Instruments &amp; Instrumentation; Remote Sensing; Optics; Imaging Science &amp; Photographic Technology</t>
  </si>
  <si>
    <t>BY13A</t>
  </si>
  <si>
    <t>WOS:000187838100009</t>
  </si>
  <si>
    <t>Souchez, R; Jean-Baptiste, P; Petit, JR; Lipenkov, VY; Jouzel, J</t>
  </si>
  <si>
    <t>What is the deepest part of the Vostok ice core telling us?</t>
  </si>
  <si>
    <t>EARTH-SCIENCE REVIEWS</t>
  </si>
  <si>
    <t>Vostok ice core; helium; deuterium</t>
  </si>
  <si>
    <t>ANTARCTIC SUBGLACIAL LAKES; ISOTOPIC COMPOSITION; WATER EXCHANGE; CLIMATE</t>
  </si>
  <si>
    <t>This review paper is mainly concerned with a geochemical investigation of the deepest part of the Vostok ice core between 3310 m, the depth at which the palaeoenvironmental record present in the ice above is lost, and the bottom of the core about 130 m above subglacial Lake Vostok. Two sections constitute this part of the core. The upper section (3310-3539 m depth) still consists of ice of meteoric origin but subjected to widespread complex deformation. This deformation is analysed in light of a deltaD-deuterium excess diagram and information on microparticles, crystal sizes and chemical elements distributions in that part of the core. Such ice deformation occurred when the ice was still grounded upstream from Vostok station in a region with subfreezing temperatures. The lower section from 3539 m to the bottom of the core at 3623 m depth is lake ice formed by freezing of subglacial Lake Vostok waters. This is indicated by the isotopic properties (deltaD, delta(18)O and deuterium excess), by electrical conductivity measurements (ECM), crystallography and gas content of the ice. These ice core data together with data on ionic chemistry favour an origin of the lake ice by frazil ice generation in a supercooled (below pressure melting point) water plume existing in the lake followed by accretion and consolidation by subsequent freezing of the host water. The helium profile of this deepest part of the Vostok core is quite unusual and surprising. It has important implications for the interactions between the ice sheet and the lake. Two constrasting scenarios can be satisfactorily constructed so that the lake residence time is not well constrained. (C) 2002 Elsevier Science B.V All rights reserved.</t>
  </si>
  <si>
    <t>Free Univ Brussels, Dept Sci Terre &amp; Environm, Fac Sci, B-1050 Brussels, Belgium; Arctic &amp; Antarctic Res Inst, St Petersburg 199397, Russia; Lab Glaciol &amp; Geophys Environm, F-38402 St Martin Dheres, France; CEA, Lab Sci Climat &amp; Environm, F-91191 Gif Sur Yvette, France</t>
  </si>
  <si>
    <t>Universite Libre de Bruxelles; Arctic &amp; Antarctic Research Institute; Universite Paris Saclay; CEA; Centre National de la Recherche Scientifique (CNRS)</t>
  </si>
  <si>
    <t>Souchez, R (corresponding author), Free Univ Brussels, Dept Sci Terre &amp; Environm, Fac Sci, CP 160-03,50 Av FD Roosevelt, B-1050 Brussels, Belgium.</t>
  </si>
  <si>
    <t>Lipenkov, Vladimir/Q-8262-2016</t>
  </si>
  <si>
    <t>Lipenkov, Vladimir/0000-0003-4221-5440</t>
  </si>
  <si>
    <t>ELSEVIER SCIENCE BV</t>
  </si>
  <si>
    <t>AMSTERDAM</t>
  </si>
  <si>
    <t>PO BOX 211, 1000 AE AMSTERDAM, NETHERLANDS</t>
  </si>
  <si>
    <t>0012-8252</t>
  </si>
  <si>
    <t>EARTH-SCI REV</t>
  </si>
  <si>
    <t>Earth-Sci. Rev.</t>
  </si>
  <si>
    <t>1-2</t>
  </si>
  <si>
    <t>PII S0012-8252(02)00090-9</t>
  </si>
  <si>
    <t>10.1016/S0012-8252(02)00090-9</t>
  </si>
  <si>
    <t>632WH</t>
  </si>
  <si>
    <t>WOS:000180246300003</t>
  </si>
  <si>
    <t>Tschudi, S; Schäfer, JM; Borns, HW; Ivy-Ochs, S; Kubik, PW; Schlüchter, C</t>
  </si>
  <si>
    <t>Surface exposure dating of Sirius Formation at Allan Hills nunatak, Antarctica:: New evidence for long-term ice-sheet stability</t>
  </si>
  <si>
    <t>ECLOGAE GEOLOGICAE HELVETIAE</t>
  </si>
  <si>
    <t>East Antarctic Ice Sheet; Sirius Formation; Allan Hills; cosmogenic nuclides</t>
  </si>
  <si>
    <t>PRODUCTION-RATES; DRY-VALLEYS; COSMOGENIC NUCLIDES; BE-10; AL-26; EROSION; QUARTZ; ROCKS; NE-21; AGES</t>
  </si>
  <si>
    <t>The Allan Hills nunatak (AHN) hosts the northernmost known outcrop of the glacigenic Sirius Formation (SF) along the Transantarctic Mountains, a glacigenic deposit that is key in the understanding of the past behavior of the East Antarctic Ice Sheet (EAIS). So far. this understanding was based on chronological information about SF restricted to the inner Dry Valleys. In the present study. SF has been dated outside the Dry Valleys. providing (1) new regional chronological information and (2) new arguments for a long-term landscape and ice-sheet stability. Surface exposure dating (SED) with cosmogenic Be-10. Al-26 and Ne-21. applied on boulders of the SF and on outcropping bedrock directly underlying the SF. suggests a single and continuous period of exposure without significant coverage (e.g. by ice) of at least 2 Ma. The presented data are minimum exposure age for the SF, suggesting a deposition during the Late Pliocene or earlier. They also imply that EAIS has never over-flown AHN again after that time. indicating long-term stability of the EAIS in the area around ALIN since at least Late Pliocene time. Our study therefore supports the view that cold and hyperarid climate persisted over many millions of years also in areas outside the Dry Valleys.</t>
  </si>
  <si>
    <t>Univ Bern, Inst Geol, CH-3012 Bern, Switzerland; ETH, Inst Isotope Geol &amp; Mineral Resources, CH-8092 Zurich, Switzerland; Univ Maine, Inst Quaternary &amp; Climate Studies, Orono, ME 04469 USA; ETH Honggerberg, Inst Particle Phys, Paul Scherrer Inst, CH-8093 Zurich, Switzerland</t>
  </si>
  <si>
    <t>University of Bern; Swiss Federal Institutes of Technology Domain; ETH Zurich; University of Maine System; University of Maine Orono; Swiss Federal Institutes of Technology Domain; ETH Zurich; Paul Scherrer Institute</t>
  </si>
  <si>
    <t>Swiss Reinsurance Co, CH-8022 Zurich, Switzerland.</t>
  </si>
  <si>
    <t>BIRKHAUSER VERLAG AG</t>
  </si>
  <si>
    <t>BASEL</t>
  </si>
  <si>
    <t>VIADUKSTRASSE 40-44, PO BOX 133, CH-4010 BASEL, SWITZERLAND</t>
  </si>
  <si>
    <t>0012-9402</t>
  </si>
  <si>
    <t>ECLOGAE GEOL HELV</t>
  </si>
  <si>
    <t>Eclogae Geol. Helv.</t>
  </si>
  <si>
    <t>10.1007/s00015-003-1075-4</t>
  </si>
  <si>
    <t>690CU</t>
  </si>
  <si>
    <t>WOS:000183530400009</t>
  </si>
  <si>
    <t>Cherel, Y; Bost, CA; Weimerskirch, H</t>
  </si>
  <si>
    <t>INSTITUT OCEANOGRAPHIQUE; INSTITUT OCEANOGRAPHIQUE</t>
  </si>
  <si>
    <t>A review of the foraging zones of satellite-tracked seabirds in the Southern Ocean</t>
  </si>
  <si>
    <t>ELECTRONIC MARKING AND TELEMETRIC TRACKING OF LARGE MIGRATORY MARINE VERTEBRATES</t>
  </si>
  <si>
    <t>Seminar of the Oceanographic Institute on Electronic Making and Telenetric Tracking of Large Migratory Marine Vertebrates</t>
  </si>
  <si>
    <t>DEC 13, 2001</t>
  </si>
  <si>
    <t>PARIS, FRANCE</t>
  </si>
  <si>
    <t>albatross; bioindication; feeding strategies; foraging areas; penguin; petrel</t>
  </si>
  <si>
    <t>PETRELS PROCELLARIA-AEQUINOCTIALIS; PENGUINS APTENODYTES FORSTERI; ALBATROSS DIOMEDEA-EXULANS; SEA-SURFACE TEMPERATURES; BLACK-BROWED ALBATROSSES; ANTARCTIC POLAR FRONT; WANDERING ALBATROSSES; KING PENGUINS; KERGUELEN WATERS; EMPEROR PENGUINS</t>
  </si>
  <si>
    <t>The article reviews data collected on the feeding ecology of seabirds from the Southern Ocean using satellite telemetry. Seabirds include penguins, albatrosses and the largest species of petrels. Depending on the species, main foraging areas are first, waters over the continental shelf and slope, and second, various zones of the oceanic domain, including the subtropical zone, the polar front and the polar frontal zone (and eddies within it), and Antarctic waters. Temporal changes in the foraging areas and distances were found, as differences between males and females and between closely-related species. Some procellariid species use a two-fold strategy during the chick-rearing period, using in alternance foraging areas close by and far away their breeding localities. Instrumented seabirds have the potential to collect useful information on physical parameters and on the marine resources of the pelagic ecosystem, thus complementing classical oceanographic studies. Finally, satellite tracking clearly indicates the marine areas that need to be protected for the conservation of austral seabirds.</t>
  </si>
  <si>
    <t>CNRS, UPR 1934, Ctr Etud Biol Chize, F-79360 Villiers en Bois, France</t>
  </si>
  <si>
    <t>Centre National de la Recherche Scientifique (CNRS)</t>
  </si>
  <si>
    <t>Cherel, Y (corresponding author), CNRS, UPR 1934, Ctr Etud Biol Chize, BP 14, F-79360 Villiers en Bois, France.</t>
  </si>
  <si>
    <t>Weimerskirch, Henri/F-5562-2013; Weimerskirch, Henri/K-7306-2019</t>
  </si>
  <si>
    <t>Weimerskirch, Henri/0000-0002-0457-586X</t>
  </si>
  <si>
    <t>INST OCEANOGRAPHIQUE</t>
  </si>
  <si>
    <t>PARIS</t>
  </si>
  <si>
    <t>195 RUE SAINT-JACQUES, 75005 PARIS, FRANCE</t>
  </si>
  <si>
    <t>BX85E</t>
  </si>
  <si>
    <t>WOS:000186633500004</t>
  </si>
  <si>
    <t>Chiaradia, A; Costalunga, A; Kerry, K</t>
  </si>
  <si>
    <t>The diet of Little Penguins (Eudyptula minor) at Phillip Island, Victoria, in the absence of a major prey -: Pilchard (Sardinops sagax)</t>
  </si>
  <si>
    <t>EMU</t>
  </si>
  <si>
    <t>STOMACH CONTENTS; MORTALITY; AUSTRALIA; ABUNDANCE; ANCHOVY</t>
  </si>
  <si>
    <t>The diet of Little Penguins (Eudyptula minor) was investigated in December 1995 and during the 1996 - 97 breeding period at Phillip Island, Victoria, Australia. The composition of the diet in this study differed markedly from that reported previously. Pilchard ( Sardinops sagax), once a major prey, had virtually disappeared from the diet and Anchovy (Engraulis australis) showed a substantial decrease in frequency of occurrence. Instead, penguins had taken a temporal succession of juveniles of Red Cod (Pseudophycis bachus), Barracouta (Thyrsites atun), and Blue Warehou (Seriolella brama). Little Penguins had lower and higher than average breeding success in the 1995 - 96 and 1996 - 97, respectively, suggesting that the absence of Pilchards itself did not necessarily reduce the breeding success of Little Penguins. These findings contrast with those recorded in the 1980s when the absences of Pilchard and Anchovy had a negative impact on the penguins' breeding performance.</t>
  </si>
  <si>
    <t>Univ Tasmania, Inst Antarctic &amp; So Ocean Studies, Hobart, Tas 7001, Australia; Australian Antarctic Div, Kingston, Tas 7050, Australia</t>
  </si>
  <si>
    <t>University of Tasmania; Australian Antarctic Division</t>
  </si>
  <si>
    <t>Chiaradia, A (corresponding author), Phillip Isl Nat Pk, POB 97, Cowes, Vic 3922, Australia.</t>
  </si>
  <si>
    <t>Chiaradia, Andre/AFK-6634-2022; Chiaradia, Andre/AAG-4928-2022</t>
  </si>
  <si>
    <t>Chiaradia, Andre/0000-0002-6178-4211; Chiaradia, Andre/0000-0002-6178-4211</t>
  </si>
  <si>
    <t>0158-4197</t>
  </si>
  <si>
    <t>Emu</t>
  </si>
  <si>
    <t>10.1071/MU02020</t>
  </si>
  <si>
    <t>664MH</t>
  </si>
  <si>
    <t>WOS:000182064500006</t>
  </si>
  <si>
    <t>Murray, MD; Nicholls, DG; Butcher, E; Moors, PJ</t>
  </si>
  <si>
    <t>How Wandering Albatrosses use weather systems to fly long distances. 2. The use of eastward-moving cold fronts from Antarctic LOWs to travel westwards across the Indian Ocean</t>
  </si>
  <si>
    <t>CLIMATOLOGY</t>
  </si>
  <si>
    <t>The flights of two non-breeding Wandering Albatrosses, Diomedea exulans exulans, were followed across the Indian Ocean from Australia. Most flight paths tacked across winds, with the forward flight being maintained within an arc of 110-170degrees from the direction of following winds. Westward flights, between 30 degreesS and 50 degreesS, repeatedly used the SW winds behind cold fronts associated with Antarctic LOWs. These winds enabled the birds to fly to the north-west and, when this brought the birds ahead of an easterly moving HIGH, the E-NE winds blowing to the north of the HIGH were used to continue the westerly movement.</t>
  </si>
  <si>
    <t>Chisholm Inst, Dandenong, Vic 3175, Australia; La Trobe Univ, Dept Phys, Bundoora, Vic 3083, Australia; Royal Bot Gardens, S Yarra, Vic 3141, Australia</t>
  </si>
  <si>
    <t>La Trobe University</t>
  </si>
  <si>
    <t>Murray, MD (corresponding author), 17 Ashmore Ave, Pymble, NSW 2073, Australia.</t>
  </si>
  <si>
    <t>10.1071/MU01011</t>
  </si>
  <si>
    <t>WOS:000182064500008</t>
  </si>
  <si>
    <t>Murray, MD; Nicholls, DG; Butcher, E; Moors, PJ; Walker, K; Elliott, G</t>
  </si>
  <si>
    <t>How Wandering Albatrosses use weather systems to fly long distances. 3. The contributions of Antarctic LOWS to eastward, southward and northward flight</t>
  </si>
  <si>
    <t>DIOMEDEA-EXULANS; INDIAN-OCEAN</t>
  </si>
  <si>
    <t>When flying directly southwards, Wandering Albatrosses, Diomedea exulans, used the N - NW winds ahead of cold fronts associated with LOWs, returning northwards in the S - SW winds behind the fronts. Birds flew eastwards in the SW winds between a LOW and a following HIGH, and in NW winds. In westerlies, they flew northeast or south-east and such flights zigzagged across the ocean. Most of these flights were in weather systems in which Antarctic LOWs were a dominant component. Where an extensive stationary HIGH develops over the southern Pacific Ocean, a belt of accelerating winds can develop at the southern interface with circulating southern LOWs, and, in these stronger winds, very rapid eastward transoceanic flights are possible. One albatross flew 1730 km in 1.5 days. A summary is given on how Wandering Albatrosses use the winds of southern oceans to achieve long-distance flights.</t>
  </si>
  <si>
    <t>10.1071/MU01068</t>
  </si>
  <si>
    <t>694YN</t>
  </si>
  <si>
    <t>WOS:000183803100003</t>
  </si>
  <si>
    <t>Dann, P; Arnould, JPY; Jessop, R; Healy, M</t>
  </si>
  <si>
    <t>Distribution and abundance of seabirds in Western Port, Victoria</t>
  </si>
  <si>
    <t>PHILLIP-ISLAND; ANTARCTIC WATERS; BAY; AUSTRALIA; MARINE; SCALE; FISH; ASSEMBLAGES; HABITATS; BIRDS</t>
  </si>
  <si>
    <t>The distribution, abundance and biomass of seabirds in Western Port, Victoria, were surveyed between April 1991 and August 1994. Individuals were counted along an 81-km series of transects from a boat at approximately monthly intervals. A total of 25 seabird taxa were recorded, of which 18 and 15 were common to those recorded by an earlier study in Port Phillip Bay and waters south of Phillip Island, respectively. The most numerous species by far was the Short-tailed Shearwater (Puffinus tenuirostris) followed by the Silver Gull (Larus novaehollandiae), Little Penguin ( Eudyptula minor) and Crested Tern ( Sterna bergii). Distribution within Western Port was not uniform, with pursuit divers such as cormorant and grebe species being recorded mostly in the shallow Eastern Arm. In contrast, surface-seizing (e.g. albatrosses), surface-plunging (e.g. Crested Terns), shallow-plunging ( Australasian Gannet, Morus serrator) and pursuit-plunging (e.g. shearwaters) species predominated in the deeper Western Arm of Western Port. These species were also seasonally abundant, with peak numbers for most occurring in late summer - early autumn, which coincides with the reported influx of juvenile clupeoid fish into Western Port. Average biomass ( 686 +/- 395 kg) comprised mostly Short-tailed Shearwaters, Little Penguins and Pied Cormorants ( Phalacrocorax varius). Biomass density (8.5 kg km(-2)) was similar to that reported for Port Phillip Bay (8.1 kg km(-2)) but lower than off the southern coast of Phillip Island (9.9 kg km(-2)).</t>
  </si>
  <si>
    <t>Phillip Isl Nat Pk, Cowes, Vic 3922, Australia; Univ Melbourne, Dept Zool, Parkville, Vic 3010, Australia</t>
  </si>
  <si>
    <t>University of Melbourne</t>
  </si>
  <si>
    <t>Arnould, JPY (corresponding author), Phillip Isl Nat Pk, POB 97, Cowes, Vic 3922, Australia.</t>
  </si>
  <si>
    <t>10.1071/MU03017</t>
  </si>
  <si>
    <t>754HM</t>
  </si>
  <si>
    <t>WOS:000187310100003</t>
  </si>
  <si>
    <t>Hahn, S; Peter, HU</t>
  </si>
  <si>
    <t>Sex and age dependency of wing patch size in Brown Skuas</t>
  </si>
  <si>
    <t>EMU-AUSTRAL ORNITHOLOGY</t>
  </si>
  <si>
    <t>SOUTH POLAR; PARENTAL QUALITY; BODY CONDITION; ORNAMENTS; EVOLUTION; PATTERNS; BEHAVIOR; PLUMAGE</t>
  </si>
  <si>
    <t>The white wing patches of the uniform brown skuas of the genus Catharacta are the most conspicuous plumage characteristics. They are assumed to be signals between individuals during aggressive and mating behaviour. We investigated the relationship between wing patch characteristics and individual traits of 118 Brown Skuas ( Catharacta antarctica lonnbergi) from an Antarctic breeding site. The wing patches are formed by the basal parts of generally nine primaries. Patch size was sex dependent, with patches being, on average, 18% larger in females (85.4 cm(2)) than in males (72.4 cm(2)). Age and patch size were positively correlated and the size increased until an age of 13 years. Neither body condition of non-breeders and breeders nor the reproductive success of breeding birds was related to patch size, but breeding birds of both sexes had larger wing patches than non-breeding birds. The results support the hypothesis that wing patches in Brown Skuas act as signals for reproductive ability but not as ornaments coding individual quality for body condition and reproductive performance.</t>
  </si>
  <si>
    <t>Inst Ecol, D-07743 Jena, Germany</t>
  </si>
  <si>
    <t>Hahn, S (corresponding author), Inst Ecol, Dornburger Str 159, D-07743 Jena, Germany.</t>
  </si>
  <si>
    <t>TAYLOR &amp; FRANCIS AUSTRALIA</t>
  </si>
  <si>
    <t>MELBOURNE</t>
  </si>
  <si>
    <t>LEVEL 2, 11 QUEENS RD, MELBOURNE, VIC 3004, AUSTRALIA</t>
  </si>
  <si>
    <t>1448-5540</t>
  </si>
  <si>
    <t>10.1071/MU02012</t>
  </si>
  <si>
    <t>WOS:000182064500005</t>
  </si>
  <si>
    <t>Webster, J; Webster, K; Nelson, P; Waterhouse, E</t>
  </si>
  <si>
    <t>The behaviour of residual contaminants at a former station site, Antarctica</t>
  </si>
  <si>
    <t>ENVIRONMENTAL POLLUTION</t>
  </si>
  <si>
    <t>trace metals; fuel; phosphate; suprapermafrost; Antarctica; Vanda</t>
  </si>
  <si>
    <t>VANDA WRIGHT VALLEY; LAKE; HYDROCARBONS; SOIL; BIODEGRADATION; REGION</t>
  </si>
  <si>
    <t>In 1994, New Zealand's only mainland Antarctic base, Vanda Station, was removed from the shores of Lake Vanda, in the McMurdo Dry Valleys region of southern Victoria Land, Antarctica. Residual chemical contamination of the station site has been identified, in the form of discrete fuel spills, locally elevated Pb, Zn, Ag and Cd concentrations in soil and elevated Cu, Ni, Co and phosphate concentrations in suprapermafrost fluids in a gully formerly used for domestic washing water disposal. Pathways for contaminant transfer to Lake Vanda, potential environmental impacts and specific remediation/monitoring options are considered. While some contaminants (particularly Zn) could be selectively leached from flooded soil, during a period of rising lake level, the small area of contaminated soils exposed and low level of contamination suggests that this would not adversely affect either shallow lake water quality or the growth of cyanobacteria. Phosphate-enhanced growth of the latter may, however, be a visible consequence of the minor contamination occurring at this site. (C) 2003 Elsevier Science Ltd. All rights reserved.</t>
  </si>
  <si>
    <t>Univ Auckland, SGES, Auckland, New Zealand; Natl Inst Water &amp; Atmospher Res, Auckland, New Zealand; P Nelson Consultancy, Auckland, New Zealand; New Zealand Antarctic Inst, Christchurch, New Zealand</t>
  </si>
  <si>
    <t>University of Auckland; National Institute of Water &amp; Atmospheric Research (NIWA) - New Zealand</t>
  </si>
  <si>
    <t>Univ Auckland, SGES, Private Bag 92019, Auckland, New Zealand.</t>
  </si>
  <si>
    <t>j.webster@auckland.ac.nz</t>
  </si>
  <si>
    <t>Webster-Brown, Jenny/0000-0001-9665-871X</t>
  </si>
  <si>
    <t>ELSEVIER SCI LTD</t>
  </si>
  <si>
    <t>THE BOULEVARD, LANGFORD LANE, KIDLINGTON, OXFORD OX5 1GB, OXON, ENGLAND</t>
  </si>
  <si>
    <t>0269-7491</t>
  </si>
  <si>
    <t>1873-6424</t>
  </si>
  <si>
    <t>ENVIRON POLLUT</t>
  </si>
  <si>
    <t>Environ. Pollut.</t>
  </si>
  <si>
    <t>PII S0269-7491(02)00403-7</t>
  </si>
  <si>
    <t>10.1016/S0269-7491(02)00403-7</t>
  </si>
  <si>
    <t>668JL</t>
  </si>
  <si>
    <t>WOS:000182287000001</t>
  </si>
  <si>
    <t>Varotsos, C</t>
  </si>
  <si>
    <t>What is the lesson from the unprecedented event over Antarctica in 2002?</t>
  </si>
  <si>
    <t>ENVIRONMENTAL SCIENCE AND POLLUTION RESEARCH</t>
  </si>
  <si>
    <t>Letter</t>
  </si>
  <si>
    <t>ozone hole; planetary waves; polar vortex</t>
  </si>
  <si>
    <t>OZONE</t>
  </si>
  <si>
    <t>Varotsos (2002a,b), suggested that both the smaller-sized ozone hole over Antarctica and its splitting in two holes in September 2002 occurred due to an unprecedented major sudden stratospheric warming caused by very strong planetary waves propagated in the southern hemisphere. Subsequently, a NASA press release of December 6, 2 0 02, also reported the prevalence of very strong planetary waves in Antarctica. The aim of this Letter is to further discuss the morphology of the Antarctic ozone hole, to detect the causes that allowed the Antarctic stratosphere to exhibit this exceptional warming and to examine what it denotes about its mechanisms. Concerning the morphology, among the principal findings is that the ozone hole split occurred not only in the stratosphere but extended in the lower altitudes (upper troposphere). As to the causes of the major sudden stratospheric warming of 2002, a comparison with the previous warmings in Antarctica since 1964 is made. The smaller-sized Antarctic ozone hole of 2002 is approximately equal to that of 1988 when a strong sudden stratospheric warming occurred. If only the destruction of ozone by chlorofluorocarbons resulted in the delayed sudden stratospheric warmings in Antarctica, then the early sudden stratospheric warmings of 1988 and 2002 would not have occurred, since chlorofluorocarbon loading of the stratosphere has remained relatively stable in recent years. Furthermore, it appears that the El Nino characteristics in 1988 and 2002 are not similar.</t>
  </si>
  <si>
    <t>Univ Athens, Dept Appl Phys, GR-15784 Athens, Greece</t>
  </si>
  <si>
    <t>National &amp; Kapodistrian University of Athens</t>
  </si>
  <si>
    <t>Varotsos, C (corresponding author), Univ Athens, Dept Appl Phys, GR-15784 Athens, Greece.</t>
  </si>
  <si>
    <t>Varotsos, Costas/H-6257-2013</t>
  </si>
  <si>
    <t>Varotsos, Costas/0000-0001-7215-3610</t>
  </si>
  <si>
    <t>ECOMED PUBLISHERS</t>
  </si>
  <si>
    <t>LANDSBERG</t>
  </si>
  <si>
    <t>RUDOLF-DIESEL-STR 3, D-86899 LANDSBERG, GERMANY</t>
  </si>
  <si>
    <t>0944-1344</t>
  </si>
  <si>
    <t>ENVIRON SCI POLLUT R</t>
  </si>
  <si>
    <t>Environ. Sci. Pollut. Res.</t>
  </si>
  <si>
    <t>10.1007/BF02980093</t>
  </si>
  <si>
    <t>661RP</t>
  </si>
  <si>
    <t>WOS:000181903800002</t>
  </si>
  <si>
    <t>Temme, C; Einax, JW; Ebinghaus, R; Schroeder, WH</t>
  </si>
  <si>
    <t>Measurements of atmospheric mercury species at a coastal site in the Antarctic and over the south Atlantic Ocean during polar summer</t>
  </si>
  <si>
    <t>ENVIRONMENTAL SCIENCE &amp; TECHNOLOGY</t>
  </si>
  <si>
    <t>REACTIVE GASEOUS MERCURY; AMBIENT AIR; PHOTOCHEMICAL PRODUCTION; DIVALENT MERCURY; DEPOSITION; SPECIATION; SPRINGTIME; TROPOSPHERE; EMISSIONS; DEPLETION</t>
  </si>
  <si>
    <t>Mercury and many of its compounds behave exceptionally in the environment because of their volatility, capability for methylation, and subsequent biomagnification in contrast with most of the other heavy metals. Long-range atmospheric transport of elemental mercury, its transformation to more toxic methylmercury compounds, the ability of some to undergo photochemical reactions, and their bioaccumulation in the aquatic food chain have made it a subject of global research activities, even in polar regions. The first continuous high-time-resolution measurements of total gaseous mercury in the Antarctic covering a 12-month period were carried out at the German Antarctic research station Neumayer (70degrees39' S, 8degrees15' W) between January 2000 and February 2001. We recently reported that mercury depletion events (MDEs) occur in the Antarctic after polar sunrise, as was previously shown for Arctic sites. These events (MDEs) end suddenly during Antarctic summer. A possible explanation of this phenomenon is presented in this paper, showing that air masses originating from the sea-ice surface were a necessary prerequisite for the observations of depletion of atmospheric mercury at polar spring. Our extensive measurements at Neumayer of atmospheric mercury species during December 2000-February 2001 show that fast oxidation of gaseous elemental mercury leads to variable Hg-0 concentrations during Antarctic summer, accompanied by elevated concentrations, up to more than 300 pg/m(3), of reactive gaseous mercury. For the first time in the Southern Hemisphere, atmospheric mercury species measurements were also performed onboard of a research vessel, indicating the existence of homogeneous background concentrations over the south Atlantic Ocean. These new findings contain evidence for an enhanced oxidizing potential of the Antarctic atmosphere over the continent that needs to be considered for the interpretation of dynamic transformations of mercury during summertime.</t>
  </si>
  <si>
    <t>Univ Jena, Inst Inorgan &amp; Analyt Chem, Dept Environm Anal, D-07743 Jena, Germany; GKSS Res Ctr Geethacht, Inst Coastal Res Phys &amp; Chem Anal, D-21502 Geesthacht, Germany; Meteorol Serv Canada, Downsview, ON M3H 5T4, Canada</t>
  </si>
  <si>
    <t>Friedrich Schiller University of Jena; Helmholtz Association; Helmholtz-Zentrum Hereon; Environment &amp; Climate Change Canada; Meteorological Service of Canada</t>
  </si>
  <si>
    <t>Temme, C (corresponding author), Univ Jena, Inst Inorgan &amp; Analyt Chem, Dept Environm Anal, D-07743 Jena, Germany.</t>
  </si>
  <si>
    <t>christian.temme@uni-jena.de</t>
  </si>
  <si>
    <t>AMER CHEMICAL SOC</t>
  </si>
  <si>
    <t>1155 16TH ST, NW, WASHINGTON, DC 20036 USA</t>
  </si>
  <si>
    <t>0013-936X</t>
  </si>
  <si>
    <t>ENVIRON SCI TECHNOL</t>
  </si>
  <si>
    <t>Environ. Sci. Technol.</t>
  </si>
  <si>
    <t>JAN 1</t>
  </si>
  <si>
    <t>10.1021/es025884w</t>
  </si>
  <si>
    <t>Engineering, Environmental; Environmental Sciences</t>
  </si>
  <si>
    <t>Engineering; Environmental Sciences &amp; Ecology</t>
  </si>
  <si>
    <t>632WG</t>
  </si>
  <si>
    <t>WOS:000180246200021</t>
  </si>
  <si>
    <t>Block, W; Zettel, J</t>
  </si>
  <si>
    <t>Activity and dormancy in relation to body water and cold tolerance in a winter-active springtail (Collembola)</t>
  </si>
  <si>
    <t>EUROPEAN JOURNAL OF ENTOMOLOGY</t>
  </si>
  <si>
    <t>Collembola; Hypogastruridae; winter activity; summer dormancy; body water balance; osmotically inactive water; cold hardiness; Differential Scanning Calorimetry; thermal hysteresis</t>
  </si>
  <si>
    <t>DIFFERENTIAL SCANNING CALORIMETRY; CERATOPHYSELLA-SIGILLATA COLLEMBOLA; ONYCHIURUS-ARCTICUS TULLBERG; THERMAL HYSTERESIS; TENEBRIO-MOLITOR; ICE FORMATION; DESICCATION; HARDINESS; ANTIFREEZE; SURVIVAL</t>
  </si>
  <si>
    <t>Ceratophysella sigillata (Collembola, Hypogastruridae) has a life cycle which may extend for &gt;2 years in a temperate climate. It exists in two main morphs, a winter-active morph and a summer-dormant morph in central European forests. The winter-active morph often occurs in large aggregations, wandering on leaf litter and snow surfaces and climbing on tree trunks. The summer-dormant morph is found in the upper soil layers of the forest floor. The cryobiology of the two morphs, sampled from a population near Bern in Switzerland, was examined using Differential Scanning Calorimetry to elucidate the roles of body water and the cold tolerance of individual springtails. Mean (SD) live weights were 62 +/- 16 and 17 +/- 6 mug for winter and summer individuals, respectively. Winter-active springtails, which were two feeding instars older than summer-dormant individuals, were significantly heavier (by up to 4 times), but contained less water (48% of fresh weight [or 0.9 g g(-1) dry weight]) compared with summer-dormant animals (70% of fresh weight [or 2.5 g g(-1) dry weight]). Summer-dormant animals had a slightly greater supercooling capacity (mean (SD) -16 +/- 6degreesC) compared with winter-active individuals (-12 +/- 3degreesC), and they also contained significantly larger amounts of both total body water and osmotically inactive (unfrozen) water. In the summer morph, the unfrozen fraction was 26%, compared to 11% in the winter morph. The ratio of osmotically inactive to osmotically active (freezable) water was 1 : 1.7 (summer) and 1 : 3.3 (winter); thus unfrozen water constituted 59% of the total body water during summer compared with only 30% in winter. Small, but significant, levels of thermal hysteresis were detected in the winter-active morph (0.15degreesC) and in summer-dormant forms (0.05degreesC), which would not confer protection from freezing. However, the presence of antifreeze proteins may prevent ice crystal growth when feeding on algae with associated ice crystals during winter. It is hypothesised that in summer animals a small decrease in freezable water results in a large increase in haemolymph osmolality, thereby reducing the vapour pressure gradient between the springtail and the surrounding air. A similar decrease in freezable water in winter animals will not have such a large effect. The transfer of free water into the osmotically inactive state is a possible mechanism for increasing drought survival in the summer-dormant morph. The ecophysiological differences between the summer and winter forms of C. sigillata are discussed in relation to its population ecology and survival.</t>
  </si>
  <si>
    <t>British Antarctic Survey, NERC, Cambridge CB3 0ET, England; Univ Bern, Inst Zool, CH-3012 Bern, Switzerland</t>
  </si>
  <si>
    <t>UK Research &amp; Innovation (UKRI); Natural Environment Research Council (NERC); NERC British Antarctic Survey; University of Bern</t>
  </si>
  <si>
    <t>Block, W (corresponding author), British Antarctic Survey, NERC, High Cross,Madingley Rd, Cambridge CB3 0ET, England.</t>
  </si>
  <si>
    <t>CZECH ACAD SCI, INST ENTOMOLOGY</t>
  </si>
  <si>
    <t>CESKE BUDEJOVICE</t>
  </si>
  <si>
    <t>BRANISOVSKA 31, CESKE BUDEJOVICE 370 05, CZECH REPUBLIC</t>
  </si>
  <si>
    <t>1210-5759</t>
  </si>
  <si>
    <t>EUR J ENTOMOL</t>
  </si>
  <si>
    <t>Eur. J. Entomol.</t>
  </si>
  <si>
    <t>10.14411/eje.2003.049</t>
  </si>
  <si>
    <t>Entomology</t>
  </si>
  <si>
    <t>714UW</t>
  </si>
  <si>
    <t>gold, Green Submitted</t>
  </si>
  <si>
    <t>WOS:000184932700001</t>
  </si>
  <si>
    <t>Reid, JE; Vrbancich, J; Worby, AP</t>
  </si>
  <si>
    <t>Reid, James E.; Vrbancich, Julian; Worby, Anthony P.</t>
  </si>
  <si>
    <t>A comparison of shipborne and airborne electromagnetic methods for Antarctic sea ice thickness measurements</t>
  </si>
  <si>
    <t>EXPLORATION GEOPHYSICS</t>
  </si>
  <si>
    <t>Antarctic sea ice thickness; airborne electromagnetics; three-dimensional modelling; one-dimensional inversion</t>
  </si>
  <si>
    <t>SUMMER; WINTER</t>
  </si>
  <si>
    <t>The three-dimensional modelling program MARCO_AIR has been used to calculate the response of idealized sea-ice pressure ridge models to practical airborne and shipborne electromagnetic systems. The model results clearly show the superior lateral resolution of the horizontal coplanar shipborne system compared to higher-altitude airborne measurements. However, sea-ice keel thicknesses estimated via one-dimensional inversion of shipborne single-frequency electromagnetic data are strongly dependent on relatively small variations in survey altitude. One-dimensional inversion of synthetic helicopter electromagnetic data over three-dimensional pressure ridge models shows that the maximum ice keel thickness is consistently underestimated, although airborne EM methods yield reliable thickness estimates over level ice. The vertical-coaxial coil survey geometry offers excellent lateral resolution of multiple targets, but the anomalies of typical Antarctic sea-ice pressure ridges would be too small to be reliably detected in practical surveys using an HEM system with a transmitter-receiver separation of 2-3 m. For an HEM system with a coil separation of 8 m, the vertical coaxial responses are larger, and lateral resolution of the vertical coaxial measurements at a flight height of 20 m is superior to a close-coupled horizontal coplanar system flown at an altitude of 10 m.</t>
  </si>
  <si>
    <t>[Reid, James E.] Univ Tasmania, Sch Earth Sci, Hobart, Tas 7001, Australia; [Vrbancich, Julian] Def Sci &amp; Technol Org, Maritime Operat Div, Pyrmont, NSW 2009, Australia; [Worby, Anthony P.] Antarctic Cooperat Res Ctr, Hobart, Tas 7001, Australia; [Worby, Anthony P.] Australian Antarctic Div, Hobart, Tas 7001, Australia</t>
  </si>
  <si>
    <t>University of Tasmania; Defence Science &amp; Technology; Australian Antarctic Division</t>
  </si>
  <si>
    <t>Reid, JE (corresponding author), Univ Tasmania, Sch Earth Sci, Private Bag 79, Hobart, Tas 7001, Australia.</t>
  </si>
  <si>
    <t>James.Reid@utas.edu.au; Julian.Vrbancich@dsto.defence.gov.au; A.Worby@utas.edu.au</t>
  </si>
  <si>
    <t>Worby, Anthony P/A-2373-2012</t>
  </si>
  <si>
    <t>Antarctic Science Advisory Committee (ASAC) [1342]</t>
  </si>
  <si>
    <t>Antarctic Science Advisory Committee (ASAC)</t>
  </si>
  <si>
    <t>This research was supported by Grant 1342 from the Antarctic Science Advisory Committee (ASAC). AEMI was used with the kind permission of Dr Peter Fullagar (Fullagar Geophysics Pty Ltd).</t>
  </si>
  <si>
    <t>TAYLOR &amp; FRANCIS LTD</t>
  </si>
  <si>
    <t>ABINGDON</t>
  </si>
  <si>
    <t>2-4 PARK SQUARE, MILTON PARK, ABINGDON OR14 4RN, OXON, ENGLAND</t>
  </si>
  <si>
    <t>0812-3985</t>
  </si>
  <si>
    <t>1834-7533</t>
  </si>
  <si>
    <t>EXPLOR GEOPHYS</t>
  </si>
  <si>
    <t>Explor. Geophys.</t>
  </si>
  <si>
    <t>10.1071/EG03046</t>
  </si>
  <si>
    <t>Geochemistry &amp; Geophysics</t>
  </si>
  <si>
    <t>V24HX</t>
  </si>
  <si>
    <t>WOS:000208402600008</t>
  </si>
  <si>
    <t>von Frese, RRB; Potts, LV; Kim, HR; Shum, CK; Taylor, PT; Kimi, JW; Han, SC</t>
  </si>
  <si>
    <t>Reigber, C; Luhr, H; Schwintzer, P</t>
  </si>
  <si>
    <t>CHAMP gravity anomalies over Antarctica</t>
  </si>
  <si>
    <t>FIRST CHAMP MISSION RESULTS FOR GRAVITY, MAGNETIC AND ATMOSPHERIC STUDIES</t>
  </si>
  <si>
    <t>1st CHAMP Science Meeting</t>
  </si>
  <si>
    <t>JAN 21-24, 2002</t>
  </si>
  <si>
    <t>POTSDAM, GERMANY</t>
  </si>
  <si>
    <t>CHAMP gravity anomalies; Antarctica; magnetic anomaly correlations; Poisson's relation</t>
  </si>
  <si>
    <t>SPHERICAL-EARTH GRAVITY; SPECTRAL CORRELATION</t>
  </si>
  <si>
    <t>Before CHAMP, the Antarctic gravity field was constrained predominantly by satellite altimetry-derived gravity measurements over the oceans and the variations in satellite orbits at altitudes of about 700 km and higher. CHAMP free-air gravity estimates at 400 km altitude suggest that previous gravity models may have regionally overestimated the anomaly field of Antarctica by roughly 5 mGals. The free-air anomalies can be separated into terrain-correlated and terrain-decorrelated components using the correlation spectrum with the computed terrain gravity effects. Analysis of the terrain-correlated anomalies together with the terrain effects reveals anomalously thinned crust beneath East Antarctica between the Gamburtsev and Transantarctic Mountains that includes Wilkes Land. These results suggest tectonically extended crust for roughly a third of East Antarctica as important new constraints on Gondwana dynamics. Additionally, the terrain-decorrelated free-air anomalies reveal mass variations of the mantle and core to constrain the thermodynamics of the subcrust, the origin of the geomagnetic field, and standard precession and nutation models. With CHAMP, we also have for the first time co-registered complementary magnetic and gravity observations. Hence, we can identify and study regionally correlative lithospheric mass and magnetization variations via Poisson's relationship for new constraints on regional petrological, structural, and thermal variations of the Antarctic lithosphere.</t>
  </si>
  <si>
    <t>Ohio State Univ, Dept Geol Sci, Columbus, OH 43210 USA</t>
  </si>
  <si>
    <t>von Frese, RRB (corresponding author), Ohio State Univ, Dept Geol Sci, Columbus, OH 43210 USA.</t>
  </si>
  <si>
    <t>Han, Shin-Chan/A-2022-2009; Taylor, Patrick T/D-4707-2012</t>
  </si>
  <si>
    <t>Taylor, Patrick T/0000-0002-1212-9384</t>
  </si>
  <si>
    <t>3-540-00206-5</t>
  </si>
  <si>
    <t>Engineering, Aerospace; Geochemistry &amp; Geophysics; Instruments &amp; Instrumentation; Remote Sensing</t>
  </si>
  <si>
    <t>Engineering; Geochemistry &amp; Geophysics; Instruments &amp; Instrumentation; Remote Sensing</t>
  </si>
  <si>
    <t>BW62N</t>
  </si>
  <si>
    <t>WOS:000182610900027</t>
  </si>
  <si>
    <t>Kim, HR; von Frese, RRB; Taylor, PT; Kim, JW</t>
  </si>
  <si>
    <t>CHAMP enhances utility of satellite magnetic observations to augment near-surface magnetic survey coverage</t>
  </si>
  <si>
    <t>magnetic anomaly continuation; joint inversion; antarctica; ADMAP</t>
  </si>
  <si>
    <t>CURVATURE; ANOMALIES; GRAVITY</t>
  </si>
  <si>
    <t>Regional to continental scale magnetic anomaly maps are becoming increasingly available from airborne, shipborne, and terrestrial surveys. Satellite data can be used to help fill the coverage gaps in regional compilations of these near-surface surveys. For the near-surface Antarctic magnetic anomaly map being produced by the Antarctic Digital Magnetic Anomaly Project (ADMAP), we show that near-surface magnetic anomaly estimation is greatly enhanced by the joint inversion of the near-surface data with the CHAMP observations relative to the data from the Magsat and Orsted missions that respectively suffer from lower measurement accuracy and higher orbital altitudes. The analysis also suggests that considerable new insights on the magnetic properties of the lithosphere may be revealed by a further order-of-magnitude improvement in the accuracy of the magnetometer measurements at minimum orbital altitude.</t>
  </si>
  <si>
    <t>Kim, HR (corresponding author), Ohio State Univ, Dept Geol Sci, Columbus, OH 43210 USA.</t>
  </si>
  <si>
    <t>Taylor, Patrick T/D-4707-2012</t>
  </si>
  <si>
    <t>WOS:000182610900043</t>
  </si>
  <si>
    <t>von Frese, RRB; Kim, HR; Taylor, PT; Kim, JW</t>
  </si>
  <si>
    <t>CHAMP, Orsted, and Magsat magnetic anomalies of the Antarctic lithosphere</t>
  </si>
  <si>
    <t>lithospheric magnetic anomalies; Antarctica; CHAMP; Orsted; Magsat</t>
  </si>
  <si>
    <t>GEOMAGNETIC-FIELD; GRAVITY</t>
  </si>
  <si>
    <t>We processed CHAMP, Orsted and Magsat mission data for the Antarctic using advanced spectral correlation theory to separate spatially and temporally static components from the dynamic ones. Ignoring measurement noise and processing errors, the dynamic components include strong external field effects, whereas the static components reflect lithospheric and core field effects. Consistency is apparent in the correlation of all the anomaly fields at degree and order 13 and higher. However, the longer wavelength components are corrupted by errors in the core field reductions that do not account for the crustal thickness magnetic effects. To assess these magnetic effects, we developed an Antarctic crustal thickness model from free-air and computed terrain gravity effects. The pseudo magnetic effects evaluated from the crustal model indicate quite strong crustal anomaly contributions for degrees lower than 13 in the satellite magnetometer observations. The Antarctic gravity field from which the crustal thickness effects were inferred is limited by the general lack of terrestrial gravity observations. However, CHAMP is providing significant new insight on the magnetic and terrestrial gravity fields for advancing our understanding of the Antarctic lithosphere and its tectonic evolution</t>
  </si>
  <si>
    <t>WOS:000182610900045</t>
  </si>
  <si>
    <t>Coscia, MR; Oreste, U</t>
  </si>
  <si>
    <t>Limited diversity of the immunoglobulin heavy chain variable domain of the emerald rockcod Trematomus bernacchii</t>
  </si>
  <si>
    <t>FISH &amp; SHELLFISH IMMUNOLOGY</t>
  </si>
  <si>
    <t>immunoglobulin heavy chain; VH gene family; Trematomus bernacchii; VH/D/JH recombination; polar teleost</t>
  </si>
  <si>
    <t>REGION GENE FAMILIES; GADUS-MORHUA L.; CHANNEL CATFISH; LENGTH DISTRIBUTION; CDNA SEQUENCE; RAINBOW-TROUT; VH-FAMILIES; IG; SEGMENTS; TELEOST</t>
  </si>
  <si>
    <t>To investigate the diversity of the immunoglobulin heavy chain variable domain of the cold adapted teleost Trematomus bernacchii, 45 cDNA clones, containing complete or partial sequences of rearranged VH/D/JH segments, were analysed. Clones were isolated from a spleen library constructed by 5' RACE or from an expression library previously constructed and immuno-screened with rabbit anti-T. bernacchii Ig heavy chain antibodies. VH sequences shared, on average, 79.9% nucleotide identity and defined only two gene families referred to as Trbe VH I and Trbe VH II, the latter comprising 89% of the VH sequences analysed in this study. A Southern blot analysis, performed with family specific probes, revealed that there are at least 25 genomic VH genes. A phylogenetic tree showed that Trbe VH I clustered with VH genes belonging to group D and Trbe VH II with those of group C. Four putative distinct D segments were found to contribute to the diversity of CDR3, which showed a high glycine content. The Shannon analysis revealed that FRs are very highly conserved. Of CDRs, CDR2 exhibits a mean entropy value higher than CDR1, contributing to variability in a significant manner. Moreover, eight distinct JH segments were identified. These findings provide several clues suggesting a limited diversity of the VH genes in the Antarctic teleost T. bernacchii. (C) 2002 Elsevier Science Ltd. All rights reserved.</t>
  </si>
  <si>
    <t>Coscia, MR (corresponding author), CNR, Inst Prot Biochem, Via Marconi,12, I-80125 Naples, Italy.</t>
  </si>
  <si>
    <t>Coscia, Maria Rosaria/AAU-1808-2021</t>
  </si>
  <si>
    <t>ACADEMIC PRESS LTD ELSEVIER SCIENCE LTD</t>
  </si>
  <si>
    <t>LONDON</t>
  </si>
  <si>
    <t>24-28 OVAL RD, LONDON NW1 7DX, ENGLAND</t>
  </si>
  <si>
    <t>1050-4648</t>
  </si>
  <si>
    <t>FISH SHELLFISH IMMUN</t>
  </si>
  <si>
    <t>Fish Shellfish Immunol.</t>
  </si>
  <si>
    <t>10.1006/fsim.2002.0418</t>
  </si>
  <si>
    <t>Fisheries; Immunology; Marine &amp; Freshwater Biology; Veterinary Sciences</t>
  </si>
  <si>
    <t>641UN</t>
  </si>
  <si>
    <t>WOS:000180765500005</t>
  </si>
  <si>
    <t>Sojo, F; Romeike, J; Ott, S</t>
  </si>
  <si>
    <t>Himantormia lugubris (Hue) M.!Lamb -: vegetative and reproductive habit:: adaptations of an Antarctic endemic</t>
  </si>
  <si>
    <t>FLORA</t>
  </si>
  <si>
    <t>Antarctica; life-strategy; adaptation; developmental morphology; Himantormia; symbiotic contact</t>
  </si>
  <si>
    <t>LICHEN</t>
  </si>
  <si>
    <t>Himantormia lugubris has developed special growth strategies as well as special structures on morphology and anatomy. H. lugubris, an antarctic endemic, is distributed on the islands of the northern maritime Antarctic and along the Antarctic Peninsula (to the Argentine Islands). The rock surface is colonized by a thin web of hyphae from which a horizontal thallus emerges resembling a dark crustose lichen. Numerous bacteria, cyanobacteria and algae are associated with the horizontal thallus and the prothallus, but without lichenisation. Vertical growth starts from the horizontal thallus developing unlichenised or lichenised stipes. Older vertical strap-shaped thalli form a mass of chondroid mechanical tissue composed of conglutinated hyphae without algae. The algae in the vertical thallus are either carried upwards during growth or incorporated from the environment. Ascocarp development is typical for the Parmeliaceae. The commonly small number of photobiont cells may explain the low primary production in relation to thallus weight. For nutrition the horizontal thallus seems to depend on the associated numerous algae, bacteria and cyanobacteria. The number of algal cells in the primordia of the vertical branches seem to be sufficient for energy gain and growth. The major part of the thallus of H. lugubris does not participate in energy gain only acts as supporting tissue and facilitates water transport. The lichen has a pronounced K-strategy. The definition of life-strategies in Antarctic lichens is discussed.</t>
  </si>
  <si>
    <t>Univ Dusseldorf, Inst Bot, D-40225 Dusseldorf, Germany</t>
  </si>
  <si>
    <t>Heinrich Heine University Dusseldorf</t>
  </si>
  <si>
    <t>Ott, S (corresponding author), Univ Dusseldorf, Inst Bot, Univ Str 1, D-40225 Dusseldorf, Germany.</t>
  </si>
  <si>
    <t>URBAN &amp; FISCHER VERLAG</t>
  </si>
  <si>
    <t>JENA</t>
  </si>
  <si>
    <t>BRANCH OFFICE JENA, P O BOX 100537, D-07705 JENA, GERMANY</t>
  </si>
  <si>
    <t>0367-2530</t>
  </si>
  <si>
    <t>Flora</t>
  </si>
  <si>
    <t>10.1078/0367-2530-00083</t>
  </si>
  <si>
    <t>Plant Sciences; Ecology</t>
  </si>
  <si>
    <t>Plant Sciences; Environmental Sciences &amp; Ecology</t>
  </si>
  <si>
    <t>668XW</t>
  </si>
  <si>
    <t>WOS:000182322400005</t>
  </si>
  <si>
    <t>Casaux, RJ</t>
  </si>
  <si>
    <t>On the accuracy of the pellet analysis method to estimate the food intake in the Antarctic shag, Phalacrocorax bransfieldensis</t>
  </si>
  <si>
    <t>FOLIA ZOOLOGICA</t>
  </si>
  <si>
    <t>Antarctica; Antarctic shag; daily food intake; diet</t>
  </si>
  <si>
    <t>BLUE-EYED SHAG; SOUTH SHETLAND ISLANDS; CARBO-SINENSIS; ATRICEPS-BRANSFIELDENSIS; NOTOTHENIA CORIICEPS; NELSON ISLAND; DIET; ARISTOTELIS; CORMORANTS; OTOLITHS</t>
  </si>
  <si>
    <t>The possibility to study quantitatively the diet of the Antarctic shag Phalacrocorax bransfieldensis by the analysis of pellets, applying correction factors to compensate for the digestion and loss through the gastrointestinal tract of fish otoliths represented in pellets, was evaluated at two localities of the South Shetland Islands. For such purpose, the results from the analysis of 566 pellets (= regurgitated casts) collected at Harmony Point, and 296 at Duthoit Point, throughout the 1995/96 and 1996/97 breeding seasons, were corrected with the mentioned factors and the shag daily consumption rate was estimated. The estimations indicated that, except for Duthoit Point in 1996/97, the daily food intake increased from November to January (pre-laying to late-rearing) and slightly decreased in February when chicks start to fledge, thus reflecting the energy requirements at the nest. These estimations, in general, are in line with those previously obtained for other colonies and/or shag species by different methods, which suggests that after correction the use of pellets is an acceptable method to quantify the diet of the Antarctic Shag.</t>
  </si>
  <si>
    <t>Inst Antartico Argentino, RA-1010 Buenos Aires, DF, Argentina</t>
  </si>
  <si>
    <t>Casaux, RJ (corresponding author), Inst Antartico Argentino, Cerrito 1248, RA-1010 Buenos Aires, DF, Argentina.</t>
  </si>
  <si>
    <t>pipocasaux@infovia.com.ar</t>
  </si>
  <si>
    <t>INST VERTEBRATE BIOLOGY AS CR</t>
  </si>
  <si>
    <t>BRNO</t>
  </si>
  <si>
    <t>KVETNA 8, BRNO 603 65, CZECH REPUBLIC</t>
  </si>
  <si>
    <t>0139-7893</t>
  </si>
  <si>
    <t>1573-1189</t>
  </si>
  <si>
    <t>FOLIA ZOOL</t>
  </si>
  <si>
    <t>Folia Zool.</t>
  </si>
  <si>
    <t>698HB</t>
  </si>
  <si>
    <t>WOS:000183991900008</t>
  </si>
  <si>
    <t>Hünken, M; Schriek, R; Harder, J; Kirst, GO</t>
  </si>
  <si>
    <t>Are epiphytic bacteria on the Antarctic ice diatom Amphiprora kufferathii MANGUIN participated on defense against hydrogen peroxide?</t>
  </si>
  <si>
    <t>FREE RADICAL RESEARCH</t>
  </si>
  <si>
    <t>Conference on Plant Stress reactive Oxygen and Antioxidants</t>
  </si>
  <si>
    <t>SEP 10-13, 2003</t>
  </si>
  <si>
    <t>FREISING, GERMANY</t>
  </si>
  <si>
    <t>Univ Bremen, Fac 2, D-28359 Bremen, Germany; Univ Hohenheim, Inst Biol Chem &amp; Nutr 140, D-70599 Stuttgart, Germany; Max Planck Inst Marine Microbiol, D-28359 Bremen, Germany</t>
  </si>
  <si>
    <t>University of Bremen; University Hohenheim; Max Planck Society</t>
  </si>
  <si>
    <t>4 PARK SQUARE, MILTON PARK, ABINGDON OX14 4RN, OXON, ENGLAND</t>
  </si>
  <si>
    <t>1071-5762</t>
  </si>
  <si>
    <t>FREE RADICAL RES</t>
  </si>
  <si>
    <t>Free Radic. Res.</t>
  </si>
  <si>
    <t>Biochemistry &amp; Molecular Biology</t>
  </si>
  <si>
    <t>730JR</t>
  </si>
  <si>
    <t>WOS:000185828100090</t>
  </si>
  <si>
    <t>Hardtke, R</t>
  </si>
  <si>
    <t>Ricker, GR; Vanderspek, RK</t>
  </si>
  <si>
    <t>AMANDA Collaboration</t>
  </si>
  <si>
    <t>The AMANDA search for high energy neutrinos from gamma-ray bursts</t>
  </si>
  <si>
    <t>GAMMA-RAY BURST AND AFTERGLOW ASTRONOMY 2001</t>
  </si>
  <si>
    <t>AIP Conference Proceedings</t>
  </si>
  <si>
    <t>Workshop Celebrating the First Year of the HETE Mission</t>
  </si>
  <si>
    <t>NOV 05-09, 2001</t>
  </si>
  <si>
    <t>WOODS HOLE, MA</t>
  </si>
  <si>
    <t>COSMIC-RAYS; EVENT RATES</t>
  </si>
  <si>
    <t>If GRBs accelerate protons as well as electrons, they may be the source of the highest energy cosmic rays. Detection of neutrinos from GRBs would confirm hadronic acceleration. AMANDA uses the Antarctic icecap as a Cherenkov medium for detecting such high energy neutrinos. We searched data recorded during 1997 for neutrinos coincident with northern hemisphere GRBs detected by BATSE. BATSE provides the time and location information that reduces the background of atmospheric neutrinos from which the high energy neutrinos must be separated. Quality cuts reduce the number of misreconstructed atmospheric muon tracks, resulting in a nearly background-free search. The current search result, based on one year of data, is consistent with no signal and we place an upper limit on the neutrino flux from GRBs.</t>
  </si>
  <si>
    <t>Univ Wisconsin, Dept Phys, Madison, WI 53706 USA</t>
  </si>
  <si>
    <t>University of Wisconsin System; University of Wisconsin Madison</t>
  </si>
  <si>
    <t>Univ Wisconsin, Dept Phys, 1150 Univ Ave, Madison, WI 53706 USA.</t>
  </si>
  <si>
    <t>rellen@alizarin.physics.wisc.edu</t>
  </si>
  <si>
    <t>AMER INST PHYSICS</t>
  </si>
  <si>
    <t>MELVILLE</t>
  </si>
  <si>
    <t>2 HUNTINGTON QUADRANGLE, STE 1NO1, MELVILLE, NY 11747-4501 USA</t>
  </si>
  <si>
    <t>0094-243X</t>
  </si>
  <si>
    <t>0-7354-0122-5</t>
  </si>
  <si>
    <t>AIP CONF PROC</t>
  </si>
  <si>
    <t>Engineering, Aerospace; Astronomy &amp; Astrophysics; Instruments &amp; Instrumentation; Optics</t>
  </si>
  <si>
    <t>Engineering; Astronomy &amp; Astrophysics; Instruments &amp; Instrumentation; Optics</t>
  </si>
  <si>
    <t>BW74S</t>
  </si>
  <si>
    <t>WOS:000183012900035</t>
  </si>
  <si>
    <t>Nozaki, Y; Alibo, DS</t>
  </si>
  <si>
    <t>Dissolved rare earth elements in the Southern Ocean, southwest of Australia: Unique patterns compared to the South Atlantic data</t>
  </si>
  <si>
    <t>GEOCHEMICAL JOURNAL</t>
  </si>
  <si>
    <t>EASTERN INDIAN-OCEAN; ISOTOPIC COMPOSITION; CHINA SEA; SEAWATER; CHEMISTRY; NEODYMIUM; ND; FRACTIONATION; DISTRIBUTIONS; GEOCHEMISTRY</t>
  </si>
  <si>
    <t>Dissolved yttrium and rare earth elements (YREEs) have been measured in the Antarctic Circumpolar Current Region, southwest of Australia. Their vertical features are fairly smooth, irrespective of the different water masses in the water column, suggesting that the biogeochemical processes including reversible scavenging reactions and sinking particulate matter are important control on their distribution. Comparison to the previous data at nearly the same latitude of similar to40degreesS in the Southern Ocean of the Atlantic sector (German et al., 1995) indicates that our concentrations are significantly depleted in the lighter REEs. The difference in their mean concentrations systematically decreases with increasing atomic number, i.e., 67% for La, 40% for Nd, 15% for Sm and less than 5% for the REEs heavier than Tb and Y. Gadolinium is an exception to this trend with a deficit that is anomalously high at similar to36% compared to those of its neighbors, Eu and Tb. Negative Gd-anomalies exceeding 30% are recorded for the subsurface waters, which contrast with positive Gd anomalies of up to similar to20% in the North Pacific Deep Water (Alibo and Nozaki, 1999). The relative deficit of 62% for Ce(IV), perhaps fortuitously, fits well between those of La and Nd, despite its vertical profile being different from those of strictly tri-valent YREE(III)s. These observations cannot be explained simply by the REE fractionation during scavenging of particulate matter and/or regional variation of scavenging intensity alone, and suggest that there must be a REE compositional difference in the external sources, e.g., from shallow water sediments and lithogenic materials sinking through the water column. The unique REE(III) patterns of the Circumpolar Deep Water (CDW) and the Antarctic Bottom Water (AABW) with a LREE depletion in the southeastern Indian Ocean appear to be originated from igneous rocks around the Indonesian Archipelago. This is in contrast to the REE(III) patterns of a LREE enrichment with a maximum at Nd-Sm, reflecting continental sedimentary rocks, in the CDW and AABW in the South Atlantic and the western Indian Ocean. The markedly different REE patterns in the eastern and western components of CDW and AABW indicate that they can serve as novel tracers in elucidating the deep water circulation of the Indian Ocean.</t>
  </si>
  <si>
    <t>Univ Tokyo, Ocean Res Inst, Marine Inorgan Chem Div, Nakano Ku, Tokyo 1648639, Japan</t>
  </si>
  <si>
    <t>University of Tokyo</t>
  </si>
  <si>
    <t>Univ Tokyo, Ocean Res Inst, Marine Inorgan Chem Div, Nakano Ku, Tokyo 1648639, Japan.</t>
  </si>
  <si>
    <t>nozaki@ori.u-tokyo.ac.jp</t>
  </si>
  <si>
    <t>GEOCHEMICAL SOC JAPAN</t>
  </si>
  <si>
    <t>TOKYO</t>
  </si>
  <si>
    <t>358-5 YAMABUKI-CHO, SHINJUKU-KU, TOKYO, 162-0801, JAPAN</t>
  </si>
  <si>
    <t>0016-7002</t>
  </si>
  <si>
    <t>1880-5973</t>
  </si>
  <si>
    <t>GEOCHEM J</t>
  </si>
  <si>
    <t>Geochem. J.</t>
  </si>
  <si>
    <t>10.2343/geochemj.37.47</t>
  </si>
  <si>
    <t>644WK</t>
  </si>
  <si>
    <t>gold</t>
  </si>
  <si>
    <t>WOS:000180943200004</t>
  </si>
  <si>
    <t>Bérczi, S; Lukács, B</t>
  </si>
  <si>
    <t>On total Fe and Mg contents of chondrites</t>
  </si>
  <si>
    <t>Based on the few reliable analyses available at the time, Wiik (1956) demonstrated that bulk analyses of chondrites plotted along two lines of constant iron content. We have tested Wiik's conclusions based on a statistical analysis of bulk compositions of 550 Antarctic meteorites (Yanai et al., 1995), The distribution of total iron content for chondrites from this larger dataset confirms Wiik's perceptive interpretation and provides a boundary condition for chondritic parent body thermal evolution calculations.</t>
  </si>
  <si>
    <t>Eotvos Lorand Univ, Dept Gen Phys, H-1117 Budapest, Hungary; Cent Res Inst Phys, RMKI, H-1525 Budapest, Hungary</t>
  </si>
  <si>
    <t>Eotvos Lorand University; Hungarian Research Network; Hungarian Academy of Sciences; HUN-REN Wigner Research Centre for Physics</t>
  </si>
  <si>
    <t>Bérczi, S (corresponding author), Eotvos Lorand Univ, Dept Gen Phys, Pazmany Peters 1-A, H-1117 Budapest, Hungary.</t>
  </si>
  <si>
    <t>bercziszani@ludens.elte.hu</t>
  </si>
  <si>
    <t>10.2343/geochemj.37.79</t>
  </si>
  <si>
    <t>WOS:000180943200006</t>
  </si>
  <si>
    <t>Sushchevskaya, NM; Migdisova, NA; Belyatskii, BV; Peyve, AA</t>
  </si>
  <si>
    <t>Genesis of enriched tholeiitic magmas in the western segment of the Southwest Indian Ridge, South Atlantic Ocean</t>
  </si>
  <si>
    <t>GEOCHEMISTRY INTERNATIONAL</t>
  </si>
  <si>
    <t>BOUVET TRIPLE JUNCTION; MELT EQUILIBRIA; MID-ATLANTIC; MANTLE; SYSTEM; BASALTS; GEOCHEMISTRY; PETROGENESIS; CRYSTALLIZATION; GEOBAROMETER</t>
  </si>
  <si>
    <t>A petrological-geochemical study of rift magmatism in two segments of the Southwest Indian Ridge near the Bouvet triple junction indicates that the melts of the Bouvet segment and the Spiess Ridge are similar and were related to an enriched mantle source, whose composition was close to that of the source of modern lavas in the Antarctic Peninsula. The crystallization pressure of magmas (calculated with the use of various geobarometers) beneath the Spiess Ridge and in the Bouvet segment and the numerical simulation of the fractional crystallization of a primary melt compositionally close to TOR-1 was 2-4 kbar at temperatures of 1100-1300degreesC. These conditions could exist in intermediate chambers at depths of about 12 km beneath the Bouvet segment and Spiess Ridge, as is typical of slow-spreading ridges. The Pb-206/Pb-204 ratios of basaltic glasses from the Bouvet segment and Spiess Ridge vary from 18.74 and 19.20 at Pb-207/Pb-204 and Pb-208/Pb-204 ratios of 15.61-15.67 and 38.71-39.23, respectively. The Sr-87/Sr-86 ratio of the basalts from the Bouvet segment and Spiess Ridge is 0.703298-0.705453, and the Nd-143/Nd-144 ratio equals 0.512603-0.513035. According to these data, melts in the western portion of the Southwest Indian Ridge define a trend from depleted to enriched magma compositions, with the Quaternary magmas of the Antarctic Peninsula, similar to the Bouvet magmas, defining the marginal enriched member of this trend. The enriched mantle involved in the melting process during rifting could have been produced during earlier opening stages in the ancient spreading ridge in the Weddell Sea. This mantle seems to have undergone repeated metasomatic recycling during its earlier evolutionary history.</t>
  </si>
  <si>
    <t>Russian Acad Sci, Vernadsky Inst Geochem &amp; Analyt Chem, Moscow 119991, Russia; Russian Acad Sci, Inst Precambrian Geol &amp; Geochronol, St Petersburg 199034, Russia; Russian Acad Sci, Inst Geol, Moscow 109017, Russia</t>
  </si>
  <si>
    <t>Russian Academy of Sciences; Vernadsky Institute of Geochemistry &amp; Analytical Chemistry; Russian Academy of Sciences; Institute of Precambrian Geology &amp; Geochronology of the Russian Academy of Sciences; Russian Academy of Sciences; Geological Institute, Russian Academy of Sciences</t>
  </si>
  <si>
    <t>Sushchevskaya, NM (corresponding author), Russian Acad Sci, Vernadsky Inst Geochem &amp; Analyt Chem, Ul Kosygina 19, Moscow 119991, Russia.</t>
  </si>
  <si>
    <t>Мигдисова, Наталья/A-4495-2017; Peyve, Alexander A/J-5724-2013</t>
  </si>
  <si>
    <t>0016-7029</t>
  </si>
  <si>
    <t>GEOCHEM INT+</t>
  </si>
  <si>
    <t>Geochem. Int.</t>
  </si>
  <si>
    <t>641FL</t>
  </si>
  <si>
    <t>WOS:000180734300001</t>
  </si>
  <si>
    <t>Sytinskii, AD; Bokov, VN; Oborin, AA</t>
  </si>
  <si>
    <t>Dependence of the Earth's atmospheric circulation on processes in the sun and interplanetary space</t>
  </si>
  <si>
    <t>GEOMAGNETISM AND AERONOMY</t>
  </si>
  <si>
    <t>Data on geoeffectiveness of the solar wind parameters obtained during the study of the solar-atmospheric coupling have been analyzed. It has been shown that the proton density n(max) is the most important geoeffective parameter. The sign of the atmospheric response to the arrival of the disturbed solar wind (n(max)) depends on the IMF polarity. The energy of such a disturbance is comparable with that of cyclones and, therefore, affects weather. A probable mechanism of the solar-atmospheric coupling has been discussed. Data presented in the paper indicate that variations in the atmospheric circulation are, to a certain extent, controlled by processes in the Sun and interplanetary space.</t>
  </si>
  <si>
    <t>Russian Acad Sci, Arctic &amp; Antarctic Res Inst, St Petersburg 199397, Russia</t>
  </si>
  <si>
    <t>Russian Academy of Sciences; Arctic &amp; Antarctic Research Institute</t>
  </si>
  <si>
    <t>Sytinskii, AD (corresponding author), Russian Acad Sci, Arctic &amp; Antarctic Res Inst, Ul Beringa 38, St Petersburg 199397, Russia.</t>
  </si>
  <si>
    <t>0016-7932</t>
  </si>
  <si>
    <t>GEOMAGN AERONOMY+</t>
  </si>
  <si>
    <t>Geomagn. Aeron.</t>
  </si>
  <si>
    <t>649TC</t>
  </si>
  <si>
    <t>WOS:000181223200022</t>
  </si>
  <si>
    <t>Wierzchos, J; Ascaso, C; Sancho, LG; Green, A</t>
  </si>
  <si>
    <t>Iron-rich diagenetic minerals are biomarkers of microbial activity in antarctic rocks</t>
  </si>
  <si>
    <t>GEOMICROBIOLOGY JOURNAL</t>
  </si>
  <si>
    <t>Antarctic granite; biomarkers; cryptoendoliths; microfossils</t>
  </si>
  <si>
    <t>BIOWEATHERED GRANITIC BIOTITE; LAYER SILICATES; MICROORGANISMS; PRECIPITATION; OXIDES</t>
  </si>
  <si>
    <t>The cold, dry ecosystems of Antarctica have been shown to harbor traces left behind by microbial activity within certain types of rocks, but only two indirect biomarkers of cryptoendolithic activity in the Antarctic cold desert zone have been described to date. These are the geophysical and geochemical bioweathering patterns macroscopically observed in sandstone rock. Here we show that in this extreme environment, minerals are biologically transformed, and as a result, Fe-rich diagenetic minerals in the form of iron hydroxide nanocrystals and biogenic clays are deposited around chasmoendolithic hyphae and bacterial cells. Thus, when microbial life decays, these characteristic neocrystalized minerals act as distinct biomarkers of previous endolithic activity. The ability to recognize these traces may have potential astrobiological implications because the Antarctic Ross Desert is considered a terrestrial analogue of a possible ecosystem on early Mars.</t>
  </si>
  <si>
    <t>Univ Lleida, Serv Microscopia Elect, Lleida 25198, Spain; CSIC, Ctr Ciencias Medioambientales, Madrid, Spain; Univ Complutense, Fac Farm, E-28040 Madrid, Spain; Univ Waikato, Hamilton, New Zealand</t>
  </si>
  <si>
    <t>Universitat de Lleida; Consejo Superior de Investigaciones Cientificas (CSIC); CSIC - Centro de Ciencias Medioambientales (CCMA); Complutense University of Madrid; University of Waikato</t>
  </si>
  <si>
    <t>Univ Lleida, Serv Microscopia Elect, C Rovira Roure 44, Lleida 25198, Spain.</t>
  </si>
  <si>
    <t>jacekw@suic-me.udl.es</t>
  </si>
  <si>
    <t>Sancho, leopoldo G./H-2974-2013; SANCHO, LEOPOLDO/G-9120-2015; Ascaso, Carmen/F-5369-2011; Wierzchos, Jacek/F-7036-2011</t>
  </si>
  <si>
    <t>SANCHO, LEOPOLDO/0000-0002-4751-7475; Ascaso, Carmen/0000-0001-9665-193X; Wierzchos, Jacek/0000-0003-3084-3837</t>
  </si>
  <si>
    <t>TAYLOR &amp; FRANCIS INC</t>
  </si>
  <si>
    <t>PHILADELPHIA</t>
  </si>
  <si>
    <t>530 WALNUT STREET, STE 850, PHILADELPHIA, PA 19106 USA</t>
  </si>
  <si>
    <t>0149-0451</t>
  </si>
  <si>
    <t>1521-0529</t>
  </si>
  <si>
    <t>GEOMICROBIOL J</t>
  </si>
  <si>
    <t>Geomicrobiol. J.</t>
  </si>
  <si>
    <t>10.1080/01490450303890</t>
  </si>
  <si>
    <t>Environmental Sciences; Geosciences, Multidisciplinary</t>
  </si>
  <si>
    <t>Environmental Sciences &amp; Ecology; Geology</t>
  </si>
  <si>
    <t>662TM</t>
  </si>
  <si>
    <t>WOS:000181964500002</t>
  </si>
  <si>
    <t>Nakada, M; Okuno, J</t>
  </si>
  <si>
    <t>Perturbations of the Earth's rotation and their implications for the present-day mass balance of both polar ice caps</t>
  </si>
  <si>
    <t>GEOPHYSICAL JOURNAL INTERNATIONAL</t>
  </si>
  <si>
    <t>Antarctica; Earth's rotation; Glacial isostatic adjustment; Greenland; ice sheet; sea level</t>
  </si>
  <si>
    <t>GLOBAL SEA-LEVEL; GLACIAL-ISOSTATIC-ADJUSTMENT; LATE PLEISTOCENE; MANTLE VISCOSITY; MELTING HISTORY; BARENTS SEA; SHEET; DEGLACIATION; WANDER; MODEL</t>
  </si>
  <si>
    <t>The present-day perturbations of the Earth's rotation are sensitive to the glacial isostatic adjustment (GIA) arising from the Late Pleistocene glacial cycles and also to the recent mass balance of polar ice caps. In this study, we evaluate the polar wander and the change of degree-two harmonic of the Earth's geopotential ((J)overdot(2)), proportional to the rotation rate, for four Late Pleistocene ice models. We examine these perturbations as a function of lower- and upper-mantle viscosities and lithospheric thickness and rheology (elastic or viscoelastic), in which a compressible Earth model with elasticity and density given by the seismological model PREM is used. By considering the observations and predictions including the GIA process arising from the Late Pleistocene ice and recent mass balance of polar ice caps, we discuss the recent mass balance of the Antarctic and Greenland ice sheets. We also examine the effects of internal processes and the melting of mountain glaciers, although this work is only preliminary. The results shown below seem to be supported even if these effects are included. Two solutions are obtained for source areas of the recent Antarctic melting. We denote an equivalent sea level (ESL) rise (mm yr(-1)) from the Greenland and Antarctic ice sheets as (zeta)over dot(GL) and (zeta)over dot(AA), respectively, being positive for melting and negative for growth. One, solution s1, is a solution satisfying the relationship (zeta)over dot(GL) similar to (zeta)over dot(AA) ((zeta)over dot(GL) &gt; 0, (zeta)over dot(AA) &gt; 0), and the other, solution s2, generally satisfies the relationship (zeta)over dot(GL) &lt; 0 and (zeta)over dot(AA) &gt; 0. In most cases, the magnitude of (zeta)over dot(AA) for solution s2 is larger than that for solution s1. The melting area of the Antarctic ice sheet for solution s1 roughly corresponds to the Weddell Sea region, approximately located on the symmetric part of Greenland to the Equator. The area for solution s2 is located on the symmetric part of Greenland to the centre of the Earth. In both solutions, therefore, the polar wander direction caused by the mass imbalance of each ice sheet is in an opposite direction. The reason for this is that the observed polar wander direction is nearly identical to the prediction from the GIA process for the Late Pleistocene ice models. However, it is difficult to independently examine which solution is better. If we consider a recent ESL rise of similar to0.6 mm yr(-1) from the Greenland ice sheet, then a similar ESL rise of 0.5-1.0 mm yr(-1) is also suggested for the Antarctic ice sheet around the Weddell Sea region. This solution also suggests the lower- mantle viscosity to be similar to10(22) Pa s.</t>
  </si>
  <si>
    <t>Kyushu Univ, Fac Sci, Dept Earth &amp; Planetary Sci, Fukuoka 8128581, Japan; Univ Tokyo, Earthquake Res Inst, Tokyo 1130032, Japan</t>
  </si>
  <si>
    <t>Kyushu University; University of Tokyo</t>
  </si>
  <si>
    <t>Kyushu Univ, Fac Sci, Dept Earth &amp; Planetary Sci, Fukuoka 8128581, Japan.</t>
  </si>
  <si>
    <t>mnakada@geo.kyushu-u.ac.jp; okuno@eri.u-tokyo.ac.jp</t>
  </si>
  <si>
    <t>0956-540X</t>
  </si>
  <si>
    <t>1365-246X</t>
  </si>
  <si>
    <t>GEOPHYS J INT</t>
  </si>
  <si>
    <t>Geophys. J. Int.</t>
  </si>
  <si>
    <t>10.1046/j.1365-246X.2003.01831.x</t>
  </si>
  <si>
    <t>624FX</t>
  </si>
  <si>
    <t>WOS:000179750600009</t>
  </si>
  <si>
    <t>Rodó, X</t>
  </si>
  <si>
    <t>Rodo, X; Comin, FA</t>
  </si>
  <si>
    <t>Interactions between the Tropics and Extratropics.: A bit on theory, results and prospects for future predictability.</t>
  </si>
  <si>
    <t>GLOBAL CLIMATE: CURRENT RESEARCH AND UNCERTAINITIES IN THE CLIMATE SYSTEM</t>
  </si>
  <si>
    <t>Conference on Global Climate</t>
  </si>
  <si>
    <t>MAR, 1999</t>
  </si>
  <si>
    <t>BARCELONA, SPAIN</t>
  </si>
  <si>
    <t>NINO-SOUTHERN OSCILLATION; ANTARCTIC CIRCUMPOLAR WAVE; SEA-SURFACE TEMPERATURES; EL-NINO; CLIMATE-CHANGE; NORTH-ATLANTIC; ATMOSPHERIC CIRCULATION; INTERDECADAL VARIABILITY; SST ANOMALIES; ENSO</t>
  </si>
  <si>
    <t>This chapter attempts to review current research on teleconnections between the Tropics and the Extratropics, for the most part at midlatitudes and focusing mainly, though not exclusively, on the Atlantic Ocean. El Nino-Southern Oscillation (ENSO) phenomenon, the largest interannual climate signal, is the first climate phenomenon shown to depend essentially upon coupled interactions of the dynamics of both ocean and atmosphere and the only one, at present, capable of yielding some (moderate) interannual predictability. In recent works, some regions in the Extratropics have appeared more sensitive to ENSO impacts in the present times. It is however, still unknown whether or not this situation is completely new, and if so, linked to the effects of global warming. Other important uncertainties not yet solved are the unknown impacts on the Extratropics, of large-scale climatic phenomena such as ENSO, in a future and more variable warmer world. The tropical atmospheric bridge hypothesis, though not the only hypothesis, provides a strong basis to address these sorts of interactions dynamically. Other mechanisms for the generation of interannual to interdecadal variability at midlatitudes that involve internal ocean dynamics in midlatitude oceans, might also provide useful insights to enhance climate predictability and will be briefly discussed in this chapter. As a last point, a brief overview is introduced on recent studies and techniques developed for the isolation and modeling of climate forcing on ecosystems. This extreme is achieved using newly-developed specific statistical tools and taking into account transient threshold-dependent relationships.</t>
  </si>
  <si>
    <t>Univ Barcelona, GRC, Ctr Climatol &amp; Meteorol, E-08028 Barcelona, Spain</t>
  </si>
  <si>
    <t>xrodo@porthos.bio.ub.es</t>
  </si>
  <si>
    <t>Rodó, Xavier/F-7663-2017</t>
  </si>
  <si>
    <t>3-540-43820-3</t>
  </si>
  <si>
    <t>BV97J</t>
  </si>
  <si>
    <t>WOS:000180553000011</t>
  </si>
  <si>
    <t>Palliani, RB; Riding, JB</t>
  </si>
  <si>
    <t>Umbriadinium and Polarella:: an example of selectivity in the dinoflagellate fossil record</t>
  </si>
  <si>
    <t>GRANA</t>
  </si>
  <si>
    <t>SEA-ICE; SUESSIACEAE</t>
  </si>
  <si>
    <t>The extant Antarctic dinoflagellate genus Polarella and the southern European Early Jurassic dinoflagellate cyst Umbriadinium are extremely similar in morphology, particularly in their size, ornamentation and tabulation. Polarella is therefore placed in the subfamily Umbriadinioideae on this morphological evidence. The two genera, however, are maintained as separate entities for several reasons including minor differences in tabulation. This means that the stratigraphical distribution of the subfamily Umbriadinioideae is extended from the Early Jurassic (late Pliensbachian - early Toarcian) to Recent. The two species (Polarella glacialis and Umbriadinium mediterraneense) are separated by around 187 Ma. This large stratigraphical gap is an example of the selectivity of the dinoflagellate fossil record, produced by the loss of the capacity of Polarellal Umbriadinium to produce fossilisable cysts during the early Toarcian. The widely differing records of these genera attests to their longevity and wide geographical and ecological ranges.</t>
  </si>
  <si>
    <t>Univ Perugia, Dept Earth Sci, I-06100 Perugia, Italy; British Geol Survey, Keyworth NG12 5GG, Notts, England</t>
  </si>
  <si>
    <t>University of Perugia; UK Research &amp; Innovation (UKRI); Natural Environment Research Council (NERC); NERC British Geological Survey</t>
  </si>
  <si>
    <t>Palliani, RB (corresponding author), Univ Perugia, Dept Earth Sci, Piazza Univ, I-06100 Perugia, Italy.</t>
  </si>
  <si>
    <t>Rbucefa@tin.it; jbri@bgs.ac.uk</t>
  </si>
  <si>
    <t>TAYLOR &amp; FRANCIS AS</t>
  </si>
  <si>
    <t>OSLO</t>
  </si>
  <si>
    <t>KARL JOHANS GATE 5, NO-0154 OSLO, NORWAY</t>
  </si>
  <si>
    <t>0017-3134</t>
  </si>
  <si>
    <t>1651-2049</t>
  </si>
  <si>
    <t>Grana</t>
  </si>
  <si>
    <t>10.1080/00173130310012495</t>
  </si>
  <si>
    <t>Plant Sciences</t>
  </si>
  <si>
    <t>701BC</t>
  </si>
  <si>
    <t>WOS:000184144800007</t>
  </si>
  <si>
    <t>Noon, PE; Leng, MJ; Jones, VJ</t>
  </si>
  <si>
    <t>Oxygen-isotope (δ18O) evidence of Holocene hydrological changes at Signy Island, maritime Antarctica</t>
  </si>
  <si>
    <t>HOLOCENE</t>
  </si>
  <si>
    <t>oxygen isotopes; lake sediment; carbonate; palaeoclimate; hydrology; Antarctica; Holocene</t>
  </si>
  <si>
    <t>TIERRA-DEL-FUEGO; SOUTHERN-OCEAN; GLACIER FLUCTUATIONS; STABLE-ISOTOPE; LAKE-SEDIMENTS; ICE CORE; SEA-ICE; CLIMATE; RECORD; PENINSULA</t>
  </si>
  <si>
    <t>A record of Holocene hydrological changes has been produced from variations in oxygen-isotope composition (delta(18)O) preserved in freshwater lake sediments from maritime Antarctica. Small amounts (&lt;5%) of authigenic carbonate have been extracted from a non-marl sediment core from Sombre Lake, Signy Island (60 degrees 43'S, 45 degrees 38'W). Oxygen-isotope and particle-size analysis provide a sensitive record of hydrological events in the lake arising from local and regional climate phenomena. The climate affects delta O-18 through snowpack volume and glacier activity in the catchment, lakewater temperatures, the input versus evaporation balance and the duration of seasonal lake ice cover. The most depleted (negative) delta O-18 values are associated with influxes of meltwater at times of glacier advance or retreat. Enriched (positive) delta O-18 values occur during more arid, warmer conditions with longer periods of open water in summer. This isotope record can be used to determine century-scale to decadal variability in air circulation and moisture origin. Strong similarities with other Holocene proxy records from the Weddell Sea and Antarctic Peninsula Region are apparent, including the mid-Holocene climate optimum followed by the Neoglacial and, most recently, late twentieth-century climatic warming. The oxygen-isotope record from Sombre Lake illustrates the importance of remote islands in contributing to our understanding of teleconnections in atmospheric and oceanographic circulation, sea-ice extent, air temperatures and precipitation in the Southern Ocean.</t>
  </si>
  <si>
    <t>British Antarctic Survey, NERC, Cambridge CB3 0ET, England; British Geol Survey, NERC Isotope Geosci Lab, Nottingham NG12 5GG, England; UCL, Environm Change Res Ctr, London WC1H 0AP, England</t>
  </si>
  <si>
    <t>UK Research &amp; Innovation (UKRI); Natural Environment Research Council (NERC); NERC British Antarctic Survey; UK Research &amp; Innovation (UKRI); Natural Environment Research Council (NERC); NERC British Geological Survey; University of London; University College London</t>
  </si>
  <si>
    <t>Cranfield Univ, Inst Water &amp; Environm, Bedford MK45 4DT, England.</t>
  </si>
  <si>
    <t>pipnoon@yahoo.co.uk</t>
  </si>
  <si>
    <t>Leng, Melanie/0000-0003-1115-5166</t>
  </si>
  <si>
    <t>Natural Environment Research Council [bas010001] Funding Source: researchfish; NERC [nigl010001, bas010001] Funding Source: UKRI</t>
  </si>
  <si>
    <t>Natural Environment Research Council(UK Research &amp; Innovation (UKRI)Natural Environment Research Council (NERC)); NERC(UK Research &amp; Innovation (UKRI)Natural Environment Research Council (NERC))</t>
  </si>
  <si>
    <t>SAGE PUBLICATIONS LTD</t>
  </si>
  <si>
    <t>1 OLIVERS YARD, 55 CITY ROAD, LONDON EC1Y 1SP, ENGLAND</t>
  </si>
  <si>
    <t>0959-6836</t>
  </si>
  <si>
    <t>1477-0911</t>
  </si>
  <si>
    <t>Holocene</t>
  </si>
  <si>
    <t>10.1191/0959683603hl611rp</t>
  </si>
  <si>
    <t>Geography, Physical; Geosciences, Multidisciplinary</t>
  </si>
  <si>
    <t>Physical Geography; Geology</t>
  </si>
  <si>
    <t>650TH</t>
  </si>
  <si>
    <t>WOS:000181279000009</t>
  </si>
  <si>
    <t>Omar, AH; Winker, DM; Won, JG; Vaughan, MA; Hostetler, CA; Reagan, JA</t>
  </si>
  <si>
    <t>IEEE; IEEE; IEEE</t>
  </si>
  <si>
    <t>Selection algorithm for the CALIPSO lidar aerosol extinction-to-backscatter ratio</t>
  </si>
  <si>
    <t>IGARSS 2003: IEEE INTERNATIONAL GEOSCIENCE AND REMOTE SENSING SYMPOSIUM, VOLS I - VII, PROCEEDINGS: LEARNING FROM EARTH'S SHAPES AND SIZES</t>
  </si>
  <si>
    <t>IEEE International Symposium on Geoscience and Remote Sensing (IGARSS)</t>
  </si>
  <si>
    <t>23rd International Geoscience and Remote Sensing Symposium (IGARSS 2003)</t>
  </si>
  <si>
    <t>JUL 21-25, 2003</t>
  </si>
  <si>
    <t>TOULOUSE, FRANCE</t>
  </si>
  <si>
    <t>OCEAN</t>
  </si>
  <si>
    <t>The extinction-to-backscatter ratio (S-a) is an important parameter used in the determination of the aerosol extinction and subsequently the optical depth from lidar backscatter measurements. We outline the algorithm used to determine S. for the Cloud and Aerosol Lidar and Infrared imager Pathfinder Spaceborne Observations (CALIPSO) lidar. S-a of the CALIPSO lidar will either be selected from a look-up table or calculated using the lidar measurements depending on the characteristics of aerosol layer. When lofted layers are encountered, S. is computed directly from the integrated backscatter and transmittance. In all other cases, the CALIPSO observables: the depolarization ratio delta, the layer integrated attenuated backscatter gamma, and the mean layer total attenuated color ratio chi, together with the surface type, are used to aid in aerosol typing. Once the type is identified, a look-up-table developed primarily from worldwide observations, is used to determine the S-a value. For aerosols in non-polar regions, CALIPSO aerosol models include desert dust, biomass burning, background, polluted continental, polluted dust, and marine aerosols. The polar aerosols are classified into three groups: arctic, polluted arctic, and antarctic aerosols.</t>
  </si>
  <si>
    <t>NASA, Langley Res Ctr, Hampton, VA 23681 USA</t>
  </si>
  <si>
    <t>National Aeronautics &amp; Space Administration (NASA); NASA Langley Research Center</t>
  </si>
  <si>
    <t>Omar, AH (corresponding author), NASA, Langley Res Ctr, MailStop 401 A, Hampton, VA 23681 USA.</t>
  </si>
  <si>
    <t>Vaughan, Mark/IVH-3495-2023; Omar, Ali/AAE-3845-2019; Omar, Ali H/D-7102-2017</t>
  </si>
  <si>
    <t>Omar, Ali/0000-0003-1871-9235;</t>
  </si>
  <si>
    <t>IEEE</t>
  </si>
  <si>
    <t>345 E 47TH ST, NEW YORK, NY 10017 USA</t>
  </si>
  <si>
    <t>0-7803-7929-2</t>
  </si>
  <si>
    <t>INT GEOSCI REMOTE SE</t>
  </si>
  <si>
    <t>Geosciences, Multidisciplinary; Instruments &amp; Instrumentation; Remote Sensing; Imaging Science &amp; Photographic Technology</t>
  </si>
  <si>
    <t>Geology; Instruments &amp; Instrumentation; Remote Sensing; Imaging Science &amp; Photographic Technology</t>
  </si>
  <si>
    <t>BY01Z</t>
  </si>
  <si>
    <t>WOS:000187293500500</t>
  </si>
  <si>
    <t>Xiao, C; Zhang, YM; Dongchen, E; Yun, S</t>
  </si>
  <si>
    <t>GPS water vapour estimation using meteorological data from chinese antarctic research stations</t>
  </si>
  <si>
    <t>This paper mainly discusses the research deducing atmospheric Precipitable Water Vapor (PHIP) from tropospheric zenith wet delay using ground-based GPS receivers. China GreatWall and ZhongShan stations in Antarctica were taken as the researching sites. The data from SCAR Antarctic GPS Campaigns Epoch 1998/1999/2000 are used to construct the GPS analytical networks. A high-accuracy GPS processing software package -- GAMIT/GLOBK is utilized; Multiple schemes are adopted. Two kinds of models, Saastamonien and Hopfield, are used to calculate the zenith hydrostatic delay. Before calculating the atmospheric Precipitable Water Vapor (PWV), we firstly use the long-term meteorological data of the two stations to calculate the conversion ratio -- K, which is accommodated with the time period January and February of the two stations. After that wet zenith delay are transfered into PWV. In situ observed rainfall are combined to analyzing. Good results are achieved for all sessions and both stations.</t>
  </si>
  <si>
    <t>Chinese Acad Sci, Inst Remote Sensing Applicat, Lab Remote Sensing Informat Sci, Beijing 100101, Peoples R China</t>
  </si>
  <si>
    <t>Chinese Academy of Sciences</t>
  </si>
  <si>
    <t>Xiao, C (corresponding author), Chinese Acad Sci, Inst Remote Sensing Applicat, Lab Remote Sensing Informat Sci, POB 9718, Beijing 100101, Peoples R China.</t>
  </si>
  <si>
    <t>WOS:000187293500774</t>
  </si>
  <si>
    <t>Cheng, X; Zhang, YM; Li, Z; Shao, Y</t>
  </si>
  <si>
    <t>Blue-ice domain discrimination using interferometric coherence in antarctic grove mountains</t>
  </si>
  <si>
    <t>Discrimination of blue-ice domain is very important for meteorolite searching and Antarctic inland ice sheet evolvement research. Application of SAR interferometric coherence to blue-ice domain target discrimination is studied over polar inland ice. For the region of Grove Mountains in East Antarctica, interferometric coherence analysis is carried out for a pair of tandem ERS-1/2 SLC full scenes acquired in February 1996. The investigation indicates significant differences in coherence between blue-ice and other ice sheet features, providing possibilities for target discrimination. The generated blue-ice domain map is compared to a reference blue-ice domain map extracted from TM image acquired in 1990. The final results indicates good consistency.</t>
  </si>
  <si>
    <t>Cheng, X (corresponding author), Chinese Acad Sci, Inst Remote Sensing Applicat, Lab Remote Sensing Informat Sci, POB 9718, Beijing 100101, Peoples R China.</t>
  </si>
  <si>
    <t>WOS:000187293500853</t>
  </si>
  <si>
    <t>Gogineni, S; Wong, K; Krishnan, S; Kanagaratnam, P; Markus, T; Lytle, V</t>
  </si>
  <si>
    <t>An ultra-wideband radar for measurements of snow thickness over sea ice</t>
  </si>
  <si>
    <t>wideband; radar; FM-CW; snow; sea ice</t>
  </si>
  <si>
    <t>Snow cover of variable thickness exists on sea ice with thickness fluctuations in the range from less than a few centimeters to several meters depending on snow drifts and ice type. Snow largely controls the thermal and electrical properties of a sea ice cover. Because of its low thermal conductivity, it effectively insulates the sea ice surface from cold polar air and modifies the heat flux between the atmosphere and ocean. It also changes the sea ice albedo. Additionally, thick snow cover acts as a mechanical load and can depress the ice surface below sea level, causing the ice floe to be flooded with sea water. Thus accurate knowledge of snow thickness on sea ice is essential for determining the overall heat budget in the polar regions, which in turn can impact global ocean circulation and climate. We developed an ultra-wideband radar for measuring snow thickness. It operates over the frequency range from 2-8 GHz in FM-CW mode. We used a phase-locked YIG oscillator to generate a very linear 2-8 GHz chirp by using a low-frequency (520 MHz) digital chirp generator as a reference signal for the phase detector. We also constructed a receiver with a large dynamic range and fast settling time. The received signal was digitized using a 12-bit A/D converter and stored for further processing. We also developed simple models to simulate radar performance. We modeled snow as a multi-layered media and sea ice as dielectric half-space, and performed extensive simulations using snow geophysical data collected during Antarctic cruises to optimize radar performance. We evaluated the radar's performance by measuring its response to point targets such as a delay line and corner reflectors. With the Hanning window function, the measured radar range resolution is about 3.75 cm. We collected data on snow-covered ground in conjunction with measurements of snow parameters such as density, particle size, and roughness. The results from these measurements show that we can clearly delineate returns of the snow-air and snow-ground interfaces for 6-cm-thick dry snow.</t>
  </si>
  <si>
    <t>Univ Kansas, ITTC, Radar Syst &amp; Remote Sensing Lab, Lawrence, KS 66045 USA</t>
  </si>
  <si>
    <t>University of Kansas</t>
  </si>
  <si>
    <t>Gogineni, S (corresponding author), Univ Kansas, ITTC, Radar Syst &amp; Remote Sensing Lab, 2335 Irving Hill Rd, Lawrence, KS 66045 USA.</t>
  </si>
  <si>
    <t>Markus, Thorsten/D-5365-2012</t>
  </si>
  <si>
    <t>WOS:000187293500922</t>
  </si>
  <si>
    <t>Ramasami, V; Gogineni, S; Holt, B; Kanagaratnam, P; Gurumoorthy, K; Namburi, SK; Henslee, J; Braaten, D; Mahoney, A; Lytle, V</t>
  </si>
  <si>
    <t>A low frequency wideband depth sounder for sea ice</t>
  </si>
  <si>
    <t>sea ice; thickness; remote sensing</t>
  </si>
  <si>
    <t>Sea ice plays an important role in the Earth climate system. Techniques used in the past to determine sea ice thickness had fundamental limitations in terms of spatial and temporal coverage. We performed extensive simulations using published ice-core data from both polar regions, and our results suggested the use of a UHF radar system (300-1300 MHz) for sounding thin Antarctic sea ice and thin ice in the Arctic and a VHF radar system (50-250 MHz) for sounding thick Arctic sea ice. Based on the simulation results, we designed a prototype radar system that operates on both the frequency ranges. We have successfully used the system to collect data over sea ice at Barrow, Alaska. The experiments show that with our system, we can measure sea ice thickness with less than 20 cm uncertainty in thickness.</t>
  </si>
  <si>
    <t>Univ Kansas, RSL, Lawrence, KS 66045 USA</t>
  </si>
  <si>
    <t>Ramasami, V (corresponding author), Univ Kansas, RSL, Lawrence, KS 66045 USA.</t>
  </si>
  <si>
    <t>Kanagaratnam, Pannirselvam/HMU-8754-2023</t>
  </si>
  <si>
    <t>WOS:000187293500925</t>
  </si>
  <si>
    <t>Cheng, X; Zhang, YM; E, DC; Li, Z; Shao, Y</t>
  </si>
  <si>
    <t>Digital elevation model construction using ASTER stereo VNIR scene in antarctic in-land ice sheet</t>
  </si>
  <si>
    <t>Digital elevation information of Antarctic in-land ice sheet is very important in research of ice flow. ASTER (Advanced Spaceborne Thermal Emission and Reflectance Radiometer) is an imaging instrument on board Terra - the first Earth Observing System (EOS) satellite. The ASTER Earth Observation Satellite offers nearly simultaneous capture of stereo images, minimizing temporal changes and sensor modeling errors. Band 3 of the VNIR sensor includes two channels, a nadir looking scene and a backward looking scene. This provides stereo coverage from which a DEM can be automatically extracted. For the research region of Antarctic Grove Mountains, a pair of ASTER L1A stereo scene product acquired in December 27(th) 2001 is used to extract digital elevation model. Accuracy of the DEM is highly dependent on the source of the ground control points used. Several field ground control points in this region are selected. The final DEM result is compared to DEM surveyed in 2000 using GPS by Chinese surveyors, which indicates good accuracy and powerful usability of ASTER DEM construction in tough Antarctic in-land environment.</t>
  </si>
  <si>
    <t>WOS:000187293501106</t>
  </si>
  <si>
    <t>Ruberto, L; Vazquez, SC; Mac Cormack, WP</t>
  </si>
  <si>
    <t>Effectiveness of the natural bacterial flora, biostimulation and bioaugmentation on the bioremediation of a hydrocarbon contaminated Antarctic soil</t>
  </si>
  <si>
    <t>INTERNATIONAL BIODETERIORATION &amp; BIODEGRADATION</t>
  </si>
  <si>
    <t>bioremediation; Antarctic soils; hydrocarbon-degrading bacteria</t>
  </si>
  <si>
    <t>POLYCYCLIC AROMATIC-HYDROCARBONS; AUTOCHTHONOUS MICROORGANISMS; MICROBIAL-POPULATIONS; DEGRADING BACTERIA; VESTFOLD HILLS; ALPINE SOILS; DIESEL-OIL; DEGRADATION; ENVIRONMENT; BIODEGRADATION</t>
  </si>
  <si>
    <t>Microcosms systems (250 g soil in I I flasks) were performed in Jubany Station (King George Island, South Shetland Islands) to analyse biodegradation of gas-oil in Antarctic soils under natural conditions. Abiotic loss of hydrocarbons, biodegradation activity of indigenous microflora and biostimulation with N and P were studied. In addition, biaugmentation with a previously isolated psychrotolerant strain (B-2-2) was analysed. Hydrocarbon concentration, heterotrophic and hydrocarbon-degrading bacterial counts and predominant bacterial groups were evaluated during 51 days. A significant loss of hydrocarbons was observed in abiotic control. Indigenous microflora showed increased heterotrophic counts and hydrocarbon-degrading/heterotrophic ratio. This fact was associated with a significant degrading activity (35% higher than the control). Bioaugmentation with B-2-2 strain improved the bioremediation efficiency (75% of the hydrocarbon was removed). High levels of N and P produced an initial inhibition of bacterial growth. Finally, bacterial diversity was reduced in contaminated soil. Our results showed that autochthonous bacterial flora from Antarctic soils is able to degrade an important fraction of the gas-oil and that bioaugmentation represents a valuable alternative tool to improve bioremediation. (C) 2003 Elsevier Ltd. All rights reserved.</t>
  </si>
  <si>
    <t>Inst Antart Argentino, RA-1010 Buenos Aires, DF, Argentina; Univ Buenos Aires, Fac Farm &amp; Bioquim, RA-1113 Buenos Aires, DF, Argentina</t>
  </si>
  <si>
    <t>Instituto Antartico Argentino; University of Buenos Aires</t>
  </si>
  <si>
    <t>Inst Antart Argentino, Cerrito 1248, RA-1010 Buenos Aires, DF, Argentina.</t>
  </si>
  <si>
    <t>wmac@huemul.ffyb.uba.ar</t>
  </si>
  <si>
    <t>Vazquez, Susana/AEP-5214-2022</t>
  </si>
  <si>
    <t>Vazquez, Susana/0000-0002-0760-6254; Mac Cormack, Walter/0000-0002-5280-5463; Ruberto, Lucas Adolfo Mauro/0000-0001-5604-772X</t>
  </si>
  <si>
    <t>0964-8305</t>
  </si>
  <si>
    <t>1879-0208</t>
  </si>
  <si>
    <t>INT BIODETER BIODEGR</t>
  </si>
  <si>
    <t>Int. Biodeterior. Biodegrad.</t>
  </si>
  <si>
    <t>10.1016/S0964-8305(03)00048-9</t>
  </si>
  <si>
    <t>Biotechnology &amp; Applied Microbiology; Environmental Sciences</t>
  </si>
  <si>
    <t>Biotechnology &amp; Applied Microbiology; Environmental Sciences &amp; Ecology</t>
  </si>
  <si>
    <t>720DK</t>
  </si>
  <si>
    <t>WOS:000185246100008</t>
  </si>
  <si>
    <t>Reddy, GSN; Prakash, JSS; Prabahar, V; Matsumoto, GI; Stackebrandt, E; Shivaji, S</t>
  </si>
  <si>
    <t>Kocuria polaris sp nov., an orange-pigmented psychrophilic bacterium isolated from an Antarctic cyanobacterial mat sample</t>
  </si>
  <si>
    <t>INTERNATIONAL JOURNAL OF SYSTEMATIC AND EVOLUTIONARY MICROBIOLOGY</t>
  </si>
  <si>
    <t>MICROCOCCUS</t>
  </si>
  <si>
    <t>Strain CMS 76or(T), an orange-pigmented bacterium, was isolated from a cyanobacterial mat sample from a pond located in McMurdo Dry Valley,, Antarctica. On the basis of chemotaxonomic and phylogenetic properties, strain CMS 76or(T) was identified as a member of the genus Kocuria. It exhibited a 16S rDNA similarity of 99-8% and DNA-DNA similarity of 71% with Kocuria rosea (ATCC 186 T). Phenotypic traits confirmed that strain CMS 76or(T) and K. rosea were well differentiated. Furthermore, strain CMS 76or(T) could be differentiated from the other reported species of Kocuria, namely Kocuria kristinae (ATCC 27570(T)), Kocuria varians (ATCC 15306(T)), Kocuria rhizophila (DSM 11926(T)) and Kocuria palustris (DSM 11025(T)), on the basis of a number of phenotypic features. Therefore, it is proposed that strain CMS 76or(T) ( MTCC 3702(T) = DSM 14382(T)) be assigned to a novel species of the genus Kocuria, as Kocuria polaris.</t>
  </si>
  <si>
    <t>Ctr Cellular &amp; Mol Biol, Hyderabad 500007, Andhra Pradesh, India; Otsuma Womens Univ, Dept Environm &amp; Informat Sci, Tokyo 206, Japan; Deutsch Sammlung Mikroorganism Zellkultur GmbH, D-38124 Braunschweig, Germany</t>
  </si>
  <si>
    <t>Council of Scientific &amp; Industrial Research (CSIR) - India; CSIR - Centre for Cellular &amp; Molecular Biology (CCMB); Leibniz Institut fur Deutsche Sammlung von Mikroorganismen und Zellkulturen (DSMZ)</t>
  </si>
  <si>
    <t>Ctr Cellular &amp; Mol Biol, Uppal Rd, Hyderabad 500007, Andhra Pradesh, India.</t>
  </si>
  <si>
    <t>shivas@ccmb.res.in</t>
  </si>
  <si>
    <t>Stackebrandt, Erko/0000-0002-6130-760X; Prabahar, Vadivel/0000-0001-8649-6614; shivaji, sisinthy/0000-0003-0376-4658</t>
  </si>
  <si>
    <t>MICROBIOLOGY SOC</t>
  </si>
  <si>
    <t>CHARLES DARWIN HOUSE, 12 ROGER ST, LONDON WC1N 2JU, ERKS, ENGLAND</t>
  </si>
  <si>
    <t>1466-5026</t>
  </si>
  <si>
    <t>1466-5034</t>
  </si>
  <si>
    <t>INT J SYST EVOL MICR</t>
  </si>
  <si>
    <t>Int. J. Syst. Evol. Microbiol.</t>
  </si>
  <si>
    <t>10.1099/ijs.0.02336-0</t>
  </si>
  <si>
    <t>Microbiology</t>
  </si>
  <si>
    <t>648UQ</t>
  </si>
  <si>
    <t>WOS:000181169300028</t>
  </si>
  <si>
    <t>Ferraccioli, F; Bozzo, E</t>
  </si>
  <si>
    <t>Storti, F; Holdsworth, RE; Salvini, F</t>
  </si>
  <si>
    <t>Cenozoic strike-slip faulting from the eastern margin of the Wilkes Subglacial Basin to the western margin of the Ross Sea Rift: an aeromagnetic connection</t>
  </si>
  <si>
    <t>INTRAPLATE STRIKE-SLIP DEFORMATION BELTS</t>
  </si>
  <si>
    <t>Geological Society Special Publication</t>
  </si>
  <si>
    <t>Symposium on Intraplate Strike-Slip Deformation Belts</t>
  </si>
  <si>
    <t>APR, 2001</t>
  </si>
  <si>
    <t>Strasbourg, FRANCE</t>
  </si>
  <si>
    <t>NORTHERN VICTORIA LAND; PULL-APART BASIN; TRANSANTARCTIC MOUNTAINS; ANTARCTIC CRATON; MAGNETIC INTERPRETATION; GRAVITY; UPLIFT; CRUSTAL; REGION; TRANSTENSION</t>
  </si>
  <si>
    <t>Tectonic modelling of regional aeromagnetic anomaly patterns suggests Cenozoic right-lateral strike-slip faulting along an inherited fault system of the Transantarctic Mountains and adjacent hinterland. We name it here the Prince Albert Fault System. The Reeves Fault and David Fault are Cenozoic fight-lateral strike-slip faults and form part of the NW-SE-striking segment of this complex fault system, extending to the eastern margin of the Wilkes Subglacial Basin. Our aeromagnetic interpretation suggests therefore that the Wilkes Subglacial Basin may be connected to the Cenozoic strike-slip kinematic framework of the Transantarctic Mountains and western Ross Sea Rift. The southernmost segment of the Prince Albert Fault System parallels the N-S-striking McMurdo Sound Fault Zone and, together with it, defines a transtensional western Ross Sea Rift margin. High-resolution aeromagnetic images define the Cape Roberts pull-apart basin and suggest that Cenozoic magmatism may have focused along the transtensional western Ross Sea Rift margin itself.</t>
  </si>
  <si>
    <t>Univ Genoa, Dipartimento Studio Territorio &amp; Risorse, I-16132 Genoa, Italy</t>
  </si>
  <si>
    <t>University of Genoa</t>
  </si>
  <si>
    <t>Ferraccioli, F (corresponding author), Univ Genoa, Dipartimento Studio Territorio &amp; Risorse, Viale Benedetto 15, I-16132 Genoa, Italy.</t>
  </si>
  <si>
    <t>magne@dipteris.unige.it</t>
  </si>
  <si>
    <t>Ferraccioli, Fausto/0000-0002-9347-4736</t>
  </si>
  <si>
    <t>GEOLOGICAL SOC PUBLISHING HOUSE</t>
  </si>
  <si>
    <t>BATH</t>
  </si>
  <si>
    <t>UNIT 7, BRASSMILL ENTERPRISE CTR, BRASSMILL LANE, BATH BA1 3JN, AVON, ENGLAND</t>
  </si>
  <si>
    <t>0305-8719</t>
  </si>
  <si>
    <t>1-86239-132-7</t>
  </si>
  <si>
    <t>GEOL SOC SPEC PUBL</t>
  </si>
  <si>
    <t>Geol. Soc. Spec. Publ.</t>
  </si>
  <si>
    <t>10.1144/GSL.SP.2003.210.01.07</t>
  </si>
  <si>
    <t>Geochemistry &amp; Geophysics; Geology</t>
  </si>
  <si>
    <t>BY63W</t>
  </si>
  <si>
    <t>WOS:000189427300007</t>
  </si>
  <si>
    <t>Rocchi, S; Storti, F; Di Vincenzo, G; Rossetti, F</t>
  </si>
  <si>
    <t>Intraplate strike-slip tectonics as an alternative to mantle plume activity for the Cenozoic rift magmatism in the Ross Sea region, Antarctica</t>
  </si>
  <si>
    <t>NORTHERN VICTORIA-LAND; MARIE-BYRD-LAND; PETER-I ISLAND; TRANSANTARCTIC MOUNTAINS; WEST ANTARCTICA; NEW-ZEALAND; GEOCHEMICAL EVOLUTION; ALKALIC BASALTS; VOLCANIC-ROCKS; PACIFIC MARGIN</t>
  </si>
  <si>
    <t>The West Antarctic Rift System is one of the largest areas of crustal extension in the world. Current interpretations on its driving mechanisms mostly rely on the occurrence of one or more mantle plumes, active during the Cenozoic or the Mesozoic. Recent studies of structural-chronological relationships between emplacement of plutons, dyke swarms, and volcanic edifices since middle Eocene in northern Victoria Land imply that magma emplacement is guided by strike-slip fault systems that dissect the western rift shoulder in Victoria Land. These studies led to a critical re-examination of the arguments used to support plume models. In Victoria Land, the linear geometry of the uplift and the relative chronology of uplift and extension are inconsistent with the traditional concepts of lithospheric evolution above a mantle plume. The geochemical signature of the mafic rocks is equivocal, because both OIB and HIMU features cannot be exclusively interpreted in terms of plume activity. From a thermal point of view, magma production rates are low compared with the core part of plume-related provinces. Additionally, the hot mantle below the West Antarctic Rift System is not documented as deep as expected for mantle plumes and the shape of thermal anomaly is related to lithospheric geometry, being linear rather than having circular symmetry. The lack of any decisive evidence for plume activity is contrasted by evidence that large-scale tectonic features guide magma emplacement: the Cenozoic fault systems reactivated inherited Palaeozoic tectonic discontinuities and their activity is dynamically linked to the Southern Ocean Fracture Zones. As an alternative to both active, plume-driven rifting and passive rifting, we propose that lithospheric strike-slip deformation could have promoted transtension-related decompression melting of a subplate mantle already decompressed and veined during the late Cretaceous amagmatic extensional rift phase. Magma ascent and emplacement occurred along the main strike-slip fault systems and along the transtensional fault arrays departing from the master faults.</t>
  </si>
  <si>
    <t>Univ Pisa, Dipartimento Sci Terra, I-56126 Pisa, Italy</t>
  </si>
  <si>
    <t>University of Pisa</t>
  </si>
  <si>
    <t>Rocchi, S (corresponding author), Univ Pisa, Dipartimento Sci Terra, Via S Maria 53, I-56126 Pisa, Italy.</t>
  </si>
  <si>
    <t>rocchi@dst.unipi.it</t>
  </si>
  <si>
    <t>Storti, Fabrizio/D-9358-2017</t>
  </si>
  <si>
    <t>ROSSETTI, Federico/0000-0001-8071-7252; DI VINCENZO, GIANFRANCO/0000-0002-9669-9789; Storti, Fabrizio/0000-0003-2809-9471</t>
  </si>
  <si>
    <t>10.1144/GSL.SP.2003.210.01.09</t>
  </si>
  <si>
    <t>WOS:000189427300009</t>
  </si>
  <si>
    <t>Elansky, NF; Kozhevnikov, VN; Kuznetsov, GI; Volkov, BI</t>
  </si>
  <si>
    <t>Effect of orographic disturbances on ozone redistribution in the atmosphere by the example of airflow about the Antarctic Peninsula</t>
  </si>
  <si>
    <t>IZVESTIYA ATMOSPHERIC AND OCEANIC PHYSICS</t>
  </si>
  <si>
    <t>Monitoring the atmospheric ozone content shows that the airflow disturbances occurring about orographic irregularities affect the ozone distribution in the troposphere and stratosphere and can reveal themselves in the results of measurements of the total ozone content. The scale of this effect is estimated from a numerical simulation of the airflow about the Antarctic Peninsula. A model of a stationary, nonlinear and unbounded in height, three-layer atmosphere is used. The shape of the model irregularities corresponds well to the actual topography of the peninsula. The model vertical profiles of the wind, temperature, and ozone concentration in the undisturbed flows correspond to the climatically mean values characteristic of this region. The streamlines and ozone distributions are simulated numerically for the region of orographic disturbances. Variations in the ozone concentration in some height layers reach 60 to 70%. The total ozone content on the leeward side of the mountain ridge varies in some events by 2.1%. Such variations should be taken into account to interpret the data of ozone monitoring based on the use of observation stations, satellites, and aircraft.</t>
  </si>
  <si>
    <t>Russian Acad Sci, Oboukhov Inst Atmospher Phys, Moscow 119017, Russia; Moscow MV Lomonosov State Univ, Moscow 119899, Russia</t>
  </si>
  <si>
    <t>Russian Academy of Sciences; Obukhov Institute of Atmospheric Physics of Russian Academy of Sciences; Lomonosov Moscow State University</t>
  </si>
  <si>
    <t>Elansky, NF (corresponding author), Russian Acad Sci, Oboukhov Inst Atmospher Phys, Pyzhevskii 3, Moscow 119017, Russia.</t>
  </si>
  <si>
    <t>0001-4338</t>
  </si>
  <si>
    <t>IZV ATMOS OCEAN PHY+</t>
  </si>
  <si>
    <t>Izv. Atmos. Ocean. Phys.</t>
  </si>
  <si>
    <t>Meteorology &amp; Atmospheric Sciences; Oceanography</t>
  </si>
  <si>
    <t>642FJ</t>
  </si>
  <si>
    <t>WOS:000180793300011</t>
  </si>
  <si>
    <t>Cockell, CS; Ellery, AA</t>
  </si>
  <si>
    <t>The human exploration of the Martian poles part 1 - From early expeditions to a permanent station</t>
  </si>
  <si>
    <t>JBIS-JOURNAL OF THE BRITISH INTERPLANETARY SOCIETY</t>
  </si>
  <si>
    <t>polar; expedition; humans; Mars; exploration; polar stations</t>
  </si>
  <si>
    <t>THERMAL MAPPER OBSERVATIONS; NORTH POLAR-REGION; DUST STORMS; MARS; DEPOSITS; ORIGIN</t>
  </si>
  <si>
    <t>The establishment of a permanent human scientific presence at the Martian poles requires the identification of a strategy for growth, from localized field parties to a permanent polar infrastructure. Using terrestrial polar stations as a template and experiences from the terrestrial High Arctic, four phases of Martian polar exploration are suggested. The first phase provides for six people to operate at the edge of the north polar cap for a Martian summer period (similar to350 sol), with excursions limited to the immediate area &lt;5 km distant from the station. With intermediate phases, this limited access phase expands to a final fourth phase that allows for the presence of 6 over-winterers and 20 summer personnel at a permanent polar station. This station will provide opportunities for scientists to investigate the geology, chemistry and organic chemical/exobiological potential of the Martian polar caps. The station will ultimately provide the means for unsupported overland assaults on the Martian geographical poles to be accomplished. The equipment and logistics required to support field parties from a permanent Martian polar station are considered. Preliminary concepts are provided for techniques of station maintenance (Martian polar regions engineering) in the light of data on the extent of seasonal snow and ice deposition at the Martian poles. Energy requirements for these methods are estimated.</t>
  </si>
  <si>
    <t>British Antarctic Survey, Cambridge CB3 0ET, England; Kingston Univ, Sch Engn, Astronaut &amp; Space Syst Grp, London SW15 3WD, England</t>
  </si>
  <si>
    <t>UK Research &amp; Innovation (UKRI); Natural Environment Research Council (NERC); NERC British Antarctic Survey; Kingston University</t>
  </si>
  <si>
    <t>Cockell, CS (corresponding author), British Antarctic Survey, Madingley Rd, Cambridge CB3 0ET, England.</t>
  </si>
  <si>
    <t>BRITISH INTERPLANETARY SOC</t>
  </si>
  <si>
    <t>27-29 S LAMBETH RD, LONDON SW8 1SZ, ENGLAND</t>
  </si>
  <si>
    <t>0007-084X</t>
  </si>
  <si>
    <t>JBIS-J BRIT INTERPLA</t>
  </si>
  <si>
    <t>JBIS-J. Br. Interplanet. Soc.</t>
  </si>
  <si>
    <t>Engineering, Aerospace; Astronomy &amp; Astrophysics; Geosciences, Multidisciplinary</t>
  </si>
  <si>
    <t>Engineering; Astronomy &amp; Astrophysics; Geology</t>
  </si>
  <si>
    <t>656EA</t>
  </si>
  <si>
    <t>WOS:000181594800002</t>
  </si>
  <si>
    <t>Ellery, AA; Cockell, CS</t>
  </si>
  <si>
    <t>The human exploration of the Martian poles part 2 - Support technologies</t>
  </si>
  <si>
    <t>ROBOTICS</t>
  </si>
  <si>
    <t>In Part 1 of this paper, we presented a phased approach to the development of a Mars pole human-inhabited research station modelled on those in the terrestrial polar regions. To support this phased growth, a number of critical technology issues need to be addressed. In this Part 2 we review some of the important technologies for the establishment of a human presence at the poles. Transport, both robotic and manned will be required to provide range of exploration on Mars. Much of the critical technology revolves around the robust provision of significant amounts of power to support both robotic and human activities. Nuclear sources of power are highlighted as the only viable option for providing the power levels required for station infrastructure. Independent materials provision through in-situ resource utilisation is examined, especially the extraction of carbon dioxide from the atmosphere and water from the polar ice and subsurface in the circumpolar erg. Drilling technologies relevant to this objective are reviewed. Finally, the issue of the provision of materials for life support systems is discussed. Generally, the technological requirements are based on the provision of energy and materials to support a human-inhabited infrastructure near the poles - this imposes significant requirements for the sustainable growth of Mars pole exploration stations.</t>
  </si>
  <si>
    <t>Kingston Univ, Sch Engn, Astronaut &amp; Space Syst Grp, London SW15 3WD, England; British Antarctic Survey, Cambridge CB3 0ET, England</t>
  </si>
  <si>
    <t>Kingston University; UK Research &amp; Innovation (UKRI); Natural Environment Research Council (NERC); NERC British Antarctic Survey</t>
  </si>
  <si>
    <t>Ellery, AA (corresponding author), Kingston Univ, Sch Engn, Astronaut &amp; Space Syst Grp, Friars Ave, London SW15 3WD, England.</t>
  </si>
  <si>
    <t>WOS:000181594800003</t>
  </si>
  <si>
    <t>Schutz, B; Bae, S; Magruder, L; Ricklefs, R; Rim, H; Silverberg, E; Webb, C; Yoon, S</t>
  </si>
  <si>
    <t>Vadali, SR; Mortari, D</t>
  </si>
  <si>
    <t>Precision orbit and attitude determination for ICESat</t>
  </si>
  <si>
    <t>JOHN L. JUNKINS ASTRODYNAMICS SYMPOSIUM</t>
  </si>
  <si>
    <t>Advances in the Astronautical Sciences</t>
  </si>
  <si>
    <t>John L Junkins Astrodynamics Symposium</t>
  </si>
  <si>
    <t>MAY 23-24, 2003</t>
  </si>
  <si>
    <t>TEXAS A&amp; M UNIV, COLL STN, TX</t>
  </si>
  <si>
    <t>TEXAS A&amp; M UNIV</t>
  </si>
  <si>
    <t>The Ice, Cloud and land Elevation Satellite (ICESat) was launched 2003 January 13 00:45 UTC from Vandenberg on a Delta-II into a near circular, 94degrees inclination orbit with an altitude of 590 km. The primary instrument carried by ICESat is the Geoscience Laser Altimeter System (GLAS), a new space geodetic tool. The GLAS instrument has been developed by NASA Goddard and began firing on February 20. The GLAS altitude measurements collected by GLAS will produce elevation time series of the Greenland and Antarctic ice sheets, which will enable determination of present-day elevation change and mass balance. Additional applications of the altimetry channel include precise measurements of land topography and vegetation canopy heights, sea ice roughness and ocean elevations. To achieve the science goals, on-board instrumentation must support determination of the illuminated laser spot on the Earth's surface with a horizontal accuracy of about 4.5 meters, equivalent to 1.5 arc-sec in laser pointing knowledge. With the scalar altitude measurement obtained by the laser and the pointing knowledge, an altitude vector is formed. Combining the altitude vector with the position knowledge of the GLAS reference point in space, a geocentric position vector of the illuminated spot on the Earth's surface is obtained. The pointing knowledge is from analysis of a set of CCD cameras that image stars and the laser, referred to as the Stellar Reference System. The position determination. is obtained from analysis of dual frequency GPS data collected by a JPL BlackJack GPS receiver. An accuracy assessment of position determination indicates that the orbit radial knowledge accuracy is better than 5 cm. Assessment of laser pointing accuracy, which is linked to attitude knowledge of the GLAS optical bench, is currently being conducted using a variety of experiments, including overflights of an instrumented area at White Sands (NM), special maneuvers over the ocean, and mapping of areas mapped with airborne lidar. The mission is currently in the calibration/validation phase in which this variety of techniques is being brought together to verify the instrument performance and provide new instrument calibrations, as required. This paper provides an overview of the early results for precision orbit determination, precision attitude/pointing determination and verification of the instrument performance.</t>
  </si>
  <si>
    <t>Univ Texas, Ctr Space Res, Austin, TX 78712 USA</t>
  </si>
  <si>
    <t>University of Texas System; University of Texas Austin</t>
  </si>
  <si>
    <t>Univ Texas, Ctr Space Res, Austin, TX 78712 USA.</t>
  </si>
  <si>
    <t>Magruder, Lori/AAA-1634-2022; Smith, Noah/F-6799-2010; Schutz, Bernard F/B-1504-2010</t>
  </si>
  <si>
    <t>Magruder, Lori/0000-0001-7564-1193;</t>
  </si>
  <si>
    <t>UNIVELT INC</t>
  </si>
  <si>
    <t>SAN DIEGO</t>
  </si>
  <si>
    <t>PO BOX 28130, SAN DIEGO, CA 92128 USA</t>
  </si>
  <si>
    <t>1081-6003</t>
  </si>
  <si>
    <t>0-87703-506-7; 0-87703-505-9</t>
  </si>
  <si>
    <t>ADV ASTRONAUT SCI</t>
  </si>
  <si>
    <t>Automation &amp; Control Systems; Engineering, Aerospace; Computer Science, Artificial Intelligence</t>
  </si>
  <si>
    <t>Automation &amp; Control Systems; Engineering; Computer Science</t>
  </si>
  <si>
    <t>BY08S</t>
  </si>
  <si>
    <t>WOS:000187552100023</t>
  </si>
  <si>
    <t>McMahon, CR; Burton, HR; Bester, MN</t>
  </si>
  <si>
    <t>A demographic comparison of two southern elephant seal populations</t>
  </si>
  <si>
    <t>JOURNAL OF ANIMAL ECOLOGY</t>
  </si>
  <si>
    <t>environmental change; mark-recapture; sub-Antarctic; survival; wean mass</t>
  </si>
  <si>
    <t>ANTARCTIC CIRCUMPOLAR WAVE; MIROUNGA-LEONINA; DECLINING POPULATION; WEANING MASS; ICE EXTENT; HETEROGENEOUS SURVIVAL; BREEDING BIOLOGY; DIVING BEHAVIOR; SEXUAL-MATURITY; FORAGING AREAS</t>
  </si>
  <si>
    <t>1. To estimate concurrent age-specific survival for southern elephant seals at Macquarie and Marion islands, seals were marked from 1993 to 1997 in the first 3 weeks of life and resighted (recaptured) on return to their natal islands (1994-2001). These recaptures formed the basis for the survival analysis in the mark-recapture program mark. Weaning masses were collected at each location. 2. Recapture probabilities were (= 376.480, P &lt; 0.0001) higher at Marion Island than at Macquarie Island. There are two possible reasons: (1) the population at Marion Island is smaller and less dense than at Macquarie Island and (2) seals hauled out along a smaller section of the coast at Marion Island than at Macquarie Island, which: (1) facilitates the detection and individual identification of seals and (2) increases access to hauled out seals. 3. Age-specific survival estimates (corrected for preweaning mortality and tag loss) differed ( = 22.264, P &lt; 0.05) at the two islands and were consistently higher at Macquarie Island. The survival estimates for male and female seals were different at Macquarie Island (= 34.657, P &lt; 0.0001) and Marion Island (= 20.373, P = 0.002). Female survival estimates were higher than male survival estimates. The combined survival estimates for juvenile seals (1-3 years) differed between islands but survival of older seals (4-6 years) did not. The inclusion of gender in the survival models did not improve model performance and hence male and female estimates were considered jointly. 4. The mean wean masses of male and female seals combined from 1993 to 1998 were not different between islands (T-6837 = 1.169, P = 0.242). At Macquarie Island the mean annual wean mass was 118.8 kg (SD = 27.2, n = 6504) while at Marion Island it was 120.6 kg (SD = 24.7, n = 335). 5. The mean age at first breeding was different (P &lt; 0.001) at the two island populations. At Macquarie Island the mean age of first breeding was 4.68 years, and at Marion Island it was 3.95 years. More (= 67.39, P &lt; 0.0001) 3-year-old females breed at Marion Island (28.7%) than at Macquarie Island (1.2%) and the proportion of seals that had bred at least once by age 7 was greater at Marion Island than at Macquarie Island. 6. We conclude that the observed decreases in elephant seal numbers between the 1950s and 1990s in the Pacific and Indian Ocean sectors were driven principally by resource limitation in the Southern Ocean. A conglomerate of factors including local predation by killer whales and intraspecific resource competition is postulated as a cause for the inter-island (regional) differences in population trends. It appears that more resources are available per capita to the Marion Island population than are available to the Macquarie Island population.</t>
  </si>
  <si>
    <t>Australian Antarctic Div, Kingston, Tas 7050, Australia; Univ Pretoria, Dept Zool &amp; Entomol, Mammal Res Inst, ZA-0002 Pretoria, South Africa</t>
  </si>
  <si>
    <t>Australian Antarctic Division; University of Pretoria</t>
  </si>
  <si>
    <t>Clive.McMahon@aad.gov.au; Harry.Burton@aad.gov.au</t>
  </si>
  <si>
    <t>McMahon, Clive R/D-5713-2013; Bester, Marthán N/E-5387-2010</t>
  </si>
  <si>
    <t>McMahon, Clive R/0000-0001-5241-8917;</t>
  </si>
  <si>
    <t>0021-8790</t>
  </si>
  <si>
    <t>1365-2656</t>
  </si>
  <si>
    <t>J ANIM ECOL</t>
  </si>
  <si>
    <t>J. Anim. Ecol.</t>
  </si>
  <si>
    <t>10.1046/j.1365-2656.2003.00685.x</t>
  </si>
  <si>
    <t>Ecology; Zoology</t>
  </si>
  <si>
    <t>Environmental Sciences &amp; Ecology; Zoology</t>
  </si>
  <si>
    <t>644PF</t>
  </si>
  <si>
    <t>WOS:000180926600006</t>
  </si>
  <si>
    <t>Gentile, G; Bonasera, V; Amico, C; Giuliano, L; Yakimov, MM</t>
  </si>
  <si>
    <t>Shewanella sp GA-22, a psychrophilic hydrocarbonoclastic antarctic bacterium producing polyunsaturated fatty acids</t>
  </si>
  <si>
    <t>JOURNAL OF APPLIED MICROBIOLOGY</t>
  </si>
  <si>
    <t>Shewanella; polyunsaturated fatty acids; Antarctic; PUFA gene cluster</t>
  </si>
  <si>
    <t>DEEP-SEA BACTERIUM; EICOSAPENTAENOIC ACID; SP-NOV; DEGRADING BACTERIUM; MARINE BACTERIUM; MEMBRANE-LIPIDS; LOW-TEMPERATURE; GENE-CLUSTER; GROWTH-RATE; FRIGIDIMARINA</t>
  </si>
  <si>
    <t>Aims: The effects of different growth media and temperature on production of polyunsaturated fatty acids (PUFA) by Shewanella sp. GA-22 were investigated. The attempts to characterize the GA-22 genes, homologous to those of PUFA biosynthesis gene cluster, was performed. Methods and Results: Physiological and phylogenetic characterization of new Antarctic isolate GA-22 was performed. Total fatty acids were isolated from the cells growing under different conditions and analysed by gas chromatography-mass spectrometry (GC-MS). Using degenerated primers derived from the conserved regions within PUFA fatty acid synthase operons, five fragments of homological genes were amplified from GA-22 DNA, and two of them corresponding to pfaA and pfaC synthase subunits were sequenced. Conclusions: Strain GA-22 was shown to be able to produce three different PUFA: linoleic, arachidonic and eicosapentaenoic acids. The PUFA production was temperature- and carbon source-dependent. The deduced gene products exhibited high similarity to corresponding fatty acid synthases PfaA and PfaC. Significance and Impact of the Study: The PUFA production was detected on media supplemented with crude oil, gasoline and n-tetradecane. The apparent conservation of PUFA genes may point to the potential utilization of designed primers as functional markers in culture-independent ecological studies, and for initial screening in biotechnological fields.</t>
  </si>
  <si>
    <t>CNR, IAMC, I-98122 Messina, Italy; Soc Ind Farmaceut Italiana Ric Oftalmoterapia, Lavinaio, Italy</t>
  </si>
  <si>
    <t>Yakimov, MM (corresponding author), CNR, IAMC, Spianata San Raineri 86, I-98122 Messina, Italy.</t>
  </si>
  <si>
    <t>Giuliano, Laura/P-2204-2019; Yakimov, Michail/H-1829-2016</t>
  </si>
  <si>
    <t>Yakimov, Michail/0000-0003-1418-363X</t>
  </si>
  <si>
    <t>BLACKWELL PUBLISHING LTD</t>
  </si>
  <si>
    <t>9600 GARSINGTON RD, OXFORD OX4 2DG, OXON, ENGLAND</t>
  </si>
  <si>
    <t>1364-5072</t>
  </si>
  <si>
    <t>J APPL MICROBIOL</t>
  </si>
  <si>
    <t>J. Appl. Microbiol.</t>
  </si>
  <si>
    <t>10.1046/j.1365-2672.2003.02077.x</t>
  </si>
  <si>
    <t>Biotechnology &amp; Applied Microbiology; Microbiology</t>
  </si>
  <si>
    <t>731GG</t>
  </si>
  <si>
    <t>WOS:000185875500026</t>
  </si>
  <si>
    <t>Barnes, PRF</t>
  </si>
  <si>
    <t>Comment on Grain boundary ridge on sintered bonds between ice crystals [J. Appl. Phys. 90, 5782, 2001]</t>
  </si>
  <si>
    <t>JOURNAL OF APPLIED PHYSICS</t>
  </si>
  <si>
    <t>Ridges have been observed at the bonds between sintering snow grains. Images collected using the scanning electron microscope (SEM) and x-ray analysis of Antarctic snow are presented. These indicate the ridges are composed from soluble impurity and not ice or water as previously suggested. The ridges can be explained by the coagulation of soluble impurities distributed either at the grain boundaries or on the grain surface. Coagulation is most likely to occur as a result of sublimation during the preparation of the snow specimens for SEM examination, however, they could also form under specific temperature conditions in the snow pack. Consequently, a theory of grain boundary diffusion is not required to explain the presence of ridges at snow bonds. (C) 2003 American Institute of Physics.</t>
  </si>
  <si>
    <t>Barnes, PRF (corresponding author), British Antarctic Survey, NERC, Madingley Rd, Cambridge CB3 0ET, England.</t>
  </si>
  <si>
    <t>Barnes, Piers/F-1558-2010</t>
  </si>
  <si>
    <t>Barnes, Piers/0000-0002-7537-8759</t>
  </si>
  <si>
    <t>CIRCULATION &amp; FULFILLMENT DIV, 2 HUNTINGTON QUADRANGLE, STE 1 N O 1, MELVILLE, NY 11747-4501 USA</t>
  </si>
  <si>
    <t>0021-8979</t>
  </si>
  <si>
    <t>J APPL PHYS</t>
  </si>
  <si>
    <t>J. Appl. Phys.</t>
  </si>
  <si>
    <t>10.1063/1.1521800</t>
  </si>
  <si>
    <t>Physics, Applied</t>
  </si>
  <si>
    <t>628NN</t>
  </si>
  <si>
    <t>WOS:000180002500124</t>
  </si>
  <si>
    <t>Kazuoka, T; Masuda, Y; Oikawa, T; Soda, K</t>
  </si>
  <si>
    <t>Thermostable aspartase from a marine psychrophile, Cytophaga sp KUC-1:: Molecular characterization and primary structure</t>
  </si>
  <si>
    <t>JOURNAL OF BIOCHEMISTRY</t>
  </si>
  <si>
    <t>MES; 2-morpholinoethanesulfonic acid; TAPS; N-tris(hydroxymethyl)methyl-3-aminopropane-sulfonic acid</t>
  </si>
  <si>
    <t>SITE-DIRECTED MUTAGENESIS; ESCHERICHIA-COLI-W; BACILLUS SP YM55-1; PROTEIN THERMOSTABILITY; PSEUDOMONAS-FLUORESCENS; NUCLEOTIDE-SEQUENCE; ANTARCTIC PSYCHROPHILE; THERMAL-STABILITY; AMMONIA-LYASE; PURIFICATION</t>
  </si>
  <si>
    <t>We found that a psychrophilic bacterium isolated from Antarctic seawater, Cytophaga sp. KUC-1, abundantly produces aspartase [EC4.3.1.1], and the enzyme was purified to homogeneity. The molecular weight of the enzyme was estimated to be 192,000, and that of the subunit was determined to be 51,000: the enzyme is a homotetramer. L-Aspartate was the exclusive substrate. The optimum pH in the absence and presence of magnesium ions was determined to be pH 7.5 and 8.5, respectively. The enzyme was activated cooperatively by the presence of L-aspartate and by magnesium ions at neutral and alkaline pHs. In the deamination reaction, the K-m value for L-aspartate was 1.09 mM at pH 7.0, and the S-1/2 value was 2.13 mM at pH 8.5. The V-max value were 99.2 U/ mg at pH 7.0 and 326 U/mg at pH 8.5. In the deamination reaction, the Km values for fumarate and ammonium were 0.797 and 25.2 mM, respectively, and V-max was 604 U/ mg. The optimum temperature of the enzyme was 55degreesC. The enzyme showed higher pH and thermal stabilities than that from mesophile: the enzyme was stable in the pH range of 4.5-10.5, and about 80% of its activity remained after incubation at 50degreesC for 60 min. The gene encoding the enzyme was cloned into Escherichia coli, and its nucleotides were sequenced. The gene consisted of an open reading frame of 1,410-bp encoding a protein of 469 amino acid residues. The amino acid sequence of the enzyme showed a high degree of identity to those of other aspartases, although these enzymes show different thermostabilities.</t>
  </si>
  <si>
    <t>Kansai Univ, Fac Engn, Dept Biotechnol, Suita, Osaka 5648680, Japan; Kansai Univ, High Technol Res Ctr, Suita, Osaka 5648680, Japan</t>
  </si>
  <si>
    <t>Kansai University; Kansai University</t>
  </si>
  <si>
    <t>Soda, K (corresponding author), Kansai Univ, Fac Engn, Dept Biotechnol, Suita, Osaka 5648680, Japan.</t>
  </si>
  <si>
    <t>JAPANESE BIOCHEMICAL SOC</t>
  </si>
  <si>
    <t>ISHIKAWA BLDG-3F, 25-16 HONGO-5-CHOME, BUNKYO-KU, TOKYO, 113, JAPAN</t>
  </si>
  <si>
    <t>0021-924X</t>
  </si>
  <si>
    <t>J BIOCHEM</t>
  </si>
  <si>
    <t>J. Biochem.</t>
  </si>
  <si>
    <t>10.1093/jb/mvg012</t>
  </si>
  <si>
    <t>645FG</t>
  </si>
  <si>
    <t>WOS:000180965100007</t>
  </si>
  <si>
    <t>Blockeel, TL; Abay, G; Çetin, B; Bednarek-Ochyra, H; Ochyra, R; Smith, RIL; Matteri, CM; Farias, RM; Novotny, I; Rao, P; Enroth, J; Van Rooy, J; Schiavone, MM; Vana, J</t>
  </si>
  <si>
    <t>New national and regional bryophyte records, 7</t>
  </si>
  <si>
    <t>JOURNAL OF BRYOLOGY</t>
  </si>
  <si>
    <t>DICHELYMA; ANDREAEA</t>
  </si>
  <si>
    <t>Ankara Univ, Fac Forestry, Dept Forestry Engn, TR-18200 Cankiri, Turkey; Polish Acad Sci, Inst Bot, Lab Bryol, PL-31512 Krakow, Poland; British Antarctic Survey, NERC, Cambridge CB3 0ET, England; Consejo Nacl Invest Cient &amp; Tecn, Museo Argentino Ciencias Nat Bernardino Rivadavia, RA-1405 Buenos Aires, DF, Argentina; Moravian Museum, Dept Bot, CZ-62700 Brno, Czech Republic; Univ Helsinki, Dept Ecol &amp; Systemat, Div Systemat Biol, FIN-00014 Helsinki, Finland; Natl Bot Inst, Natl Herbarium, ZA-0001 Pretoria, South Africa; UNT, Fdn Miguel Lillo, RA-4000 San Miguel De Tucuman, Argentina; Charles Univ, Dept Bot, CZ-12801 Prague 2, Czech Republic</t>
  </si>
  <si>
    <t>Ankara University; Polish Academy of Sciences; UK Research &amp; Innovation (UKRI); Natural Environment Research Council (NERC); NERC British Antarctic Survey; Consejo Nacional de Investigaciones Cientificas y Tecnicas (CONICET); Museo Argentino de Ciencias Naturales Bernardino Rivadavia (MACN); Moravian Museum; University of Helsinki; Consejo Nacional de Investigaciones Cientificas y Tecnicas (CONICET); Miguel Lillo Foundation; Universidad Nacional de Tucuman; Charles University Prague</t>
  </si>
  <si>
    <t>Blockeel, TL (corresponding author), 9 Ashfurlong Close, Sheffield S17 3NN, S Yorkshire, England.</t>
  </si>
  <si>
    <t>Enroth, Johannes/GLR-8836-2022; Bednarek-Ochyra, Halina/K-7507-2012; van Rooy, Jacques/P-2806-2014</t>
  </si>
  <si>
    <t>Bednarek-Ochyra, Halina/0000-0002-6994-8313; van Rooy, Jacques/0000-0002-7822-5547; Ochyra, Ryszard/0000-0002-2541-0722</t>
  </si>
  <si>
    <t>NERC [bas010011] Funding Source: UKRI; Natural Environment Research Council [bas010011] Funding Source: researchfish</t>
  </si>
  <si>
    <t>NERC(UK Research &amp; Innovation (UKRI)Natural Environment Research Council (NERC)); Natural Environment Research Council(UK Research &amp; Innovation (UKRI)Natural Environment Research Council (NERC))</t>
  </si>
  <si>
    <t>MANEY PUBLISHING</t>
  </si>
  <si>
    <t>LEEDS</t>
  </si>
  <si>
    <t>HUDSON RD, LEEDS LS9 7DL, ENGLAND</t>
  </si>
  <si>
    <t>0373-6687</t>
  </si>
  <si>
    <t>J BRYOL</t>
  </si>
  <si>
    <t>J. Bryol.</t>
  </si>
  <si>
    <t>10.1179/03736680325001832</t>
  </si>
  <si>
    <t>702VD</t>
  </si>
  <si>
    <t>WOS:000184244500011</t>
  </si>
  <si>
    <t>Banks, HT; Bindoff, NL</t>
  </si>
  <si>
    <t>Comparison of observed temperature and salinity changes in the Indo-Pacific with results from the coupled climate model HadCM3: Processes and mechanisms</t>
  </si>
  <si>
    <t>JOURNAL OF CLIMATE</t>
  </si>
  <si>
    <t>DECADAL CHANGES; OCEAN; WATER</t>
  </si>
  <si>
    <t>Observed changes in temperature and salinity properties on isopycnals across hydrographic sections throughout the Indo-Pacific are compared with the changes modeled by the coupled climate model, HadCM3. Observations show cooling and freshening on isopycnals in midlatitudes, and there is quantitative agreement between modeled and observed water mass changes on five out of six zonal sections. The full Indo-Pacific pattern of change in the climate model is examined and it is discovered that the pattern of cooling and freshening on isopycnals in midlatitudes, with warming on isopycnals at high latitudes, may be thought of as a fingerprint of anthropogenic forcing. The water mass changes are related to changes in the surface fluxes and it is found that surface warming is the dominant factor in producing water mass changes, although changes in the freshwater cycle are important in the formation zone for Antarctic Intermediate Water. The coupled model has a low-amplitude, low-frequency (100-yr period) internal mode related to the anthropogenic fingerprint. Further observations are required to measure the amplitude of the internal mode as well as the anthropogenically forced mode.</t>
  </si>
  <si>
    <t>Hadley Ctr Climate Predict &amp; Res, Met Off, Bracknell RG12 2SY, Berks, England; Antarctic Cooperat Res Ctr, Hobart, Tas, Australia</t>
  </si>
  <si>
    <t>Met Office - UK; Hadley Centre</t>
  </si>
  <si>
    <t>Banks, HT (corresponding author), Hadley Ctr Climate Predict &amp; Res, Met Off, London Rd, Bracknell RG12 2SY, Berks, England.</t>
  </si>
  <si>
    <t>Bindoff, Nathaniel Lee/IVV-0333-2023; Bindoff, Nathaniel Lee/C-8050-2011</t>
  </si>
  <si>
    <t>Bindoff, Nathaniel Lee/0000-0001-5662-9519; Bindoff, Nathaniel Lee/0000-0001-5662-9519; Hewitt, Helene/0000-0001-7432-6001</t>
  </si>
  <si>
    <t>AMER METEOROLOGICAL SOC</t>
  </si>
  <si>
    <t>BOSTON</t>
  </si>
  <si>
    <t>45 BEACON ST, BOSTON, MA 02108-3693 USA</t>
  </si>
  <si>
    <t>0894-8755</t>
  </si>
  <si>
    <t>J CLIMATE</t>
  </si>
  <si>
    <t>J. Clim.</t>
  </si>
  <si>
    <t>10.1175/1520-0442(2003)016&lt;0156:COOTAS&gt;2.0.CO;2</t>
  </si>
  <si>
    <t>632AF</t>
  </si>
  <si>
    <t>hybrid</t>
  </si>
  <si>
    <t>WOS:000180200200011</t>
  </si>
  <si>
    <t>Jones, PD; Moberg, A</t>
  </si>
  <si>
    <t>Hemispheric and large-scale surface air temperature variations: An extensive revision and an update to 2001</t>
  </si>
  <si>
    <t>TIME CLIMATE VARIABILITY; RECORD; NETWORK; TRENDS</t>
  </si>
  <si>
    <t>This study is an extensive revision of the Climatic Research Unit (CRU) land station temperature database that is used to produce a gridbox dataset of 5degrees latitude x 5degrees longitude temperature anomalies. The new database comprises 5159 station records, of which 4167 have enough data for the 1961-90 period to calculate or estimate the necessary averages. Apart from the increase in station numbers compared to the earlier study in 1994, many station records have had their data replaced by newly homogenized series that have been produced by several recent studies. New versions of all the gridded datasets currently available on the CRU Web site (http:// www.cru.uea.ac.uk) have been developed. This includes combinations with marine (sea surface temperature anomalies) data over the oceans and versions with adjustment of the variance of individual gridbox series to remove the effects of changing station numbers through time. Hemispheric and global temperature averages for land areas developed with the new dataset differ slightly from those developed in 1994. Possible reasons for the differences between the new and the earlier analysis and those from the National Climatic Data Center and the Goddard Institute for Space Studies are discussed. Differences are greatest over the Southern Hemisphere and at the beginnings and ends of each time series and relate to gridbox sizes and data availability. The rate of annual warming for global land areas over the 19012000 period is estimated by least squares to be 0.07degreesC decade(-1) (significant at better than the 99.9% level). Warming is not continuous but occurs principally over two periods (about 1920-45 and since 1975). Annual temperature series for the seven continents and the Arctic all show significant warming over the twentieth century, with significant (95%) warming for 1920-44 for North America, the Arctic, Africa, and South America, and all continents except Australia and the Antarctic since 1977. Cooling is significant during the intervening period (1945-76) for North America, the Arctic, and Africa.</t>
  </si>
  <si>
    <t>Univ E Anglia, Climat Res Unit, Norwich NR4 7TJ, Norfolk, England</t>
  </si>
  <si>
    <t>University of East Anglia</t>
  </si>
  <si>
    <t>Jones, PD (corresponding author), Univ E Anglia, Climat Res Unit, Norwich NR4 7TJ, Norfolk, England.</t>
  </si>
  <si>
    <t>Jones, Philip Douglas/C-8718-2009</t>
  </si>
  <si>
    <t>Jones, Philip Douglas/0000-0001-5032-5493; Moberg, Anders/0000-0002-5177-9347</t>
  </si>
  <si>
    <t>10.1175/1520-0442(2003)016&lt;0206:HALSSA&gt;2.0.CO;2</t>
  </si>
  <si>
    <t>635JN</t>
  </si>
  <si>
    <t>WOS:000180395900002</t>
  </si>
  <si>
    <t>Montecinos, A; Aceituno, P</t>
  </si>
  <si>
    <t>Seasonality of the ENSO-related rainfall variability in central Chile and associated circulation anomalies</t>
  </si>
  <si>
    <t>ANTARCTIC CIRCUMPOLAR WAVE; SEA-SURFACE TEMPERATURE; SOUTHERN-HEMISPHERE; BLOCKING; PACIFIC; PRECIPITATION; OSCILLATION; STATISTICS; PRESSURE</t>
  </si>
  <si>
    <t>The seasonality of the ENSO-rainfall relationship in central Chile (30degrees-41degreesS) and associated circulation anomalies are studied using correlation and compositing techniques. During El Nino episodes there is a tendency for the occurrence of above-average precipitation between 30degrees and 35degreesS in winter [June-July-August (JJA)] and from 35degrees to 38degreesS in late spring [October-November (ON)], while rainfall deficit is typically observed from around 38degrees to 41degreesS during the following summer [January-February-March (JFM)], when El Nino reaches its maximum development. Opposite rainfall anomalies are characteristic during La Nina events. This study confirms results from previous investigations indicating that enhanced blocking activity over the Amundsen-Bellings-hausen Seas area in the southeastern (SE) Pacific during El Nino is a key feature explaining the wet conditions in winter. It is also shown that the same circulation anomaly explains the relatively wet conditions in late spring in the 35degrees-38degreesS region during El Nino episodes. Furthermore, the southward displacement from winter to late spring of the area with significant ENSO-related rainfall anomalies seems associated with the seasonal migration of the boundary separating the region under the influence of the subtropical domain from the extratropical domain, where the westerly regime and associated disturbances prevail. Blocking episodes in the SE Pacific during El Nino seem to be part of a wave structure, particularly intense during spring, characterized by a sequence of positive and negative quasi-barotropic height anomalies stretching southeastward from the equator toward the SE Pacific and back to the southwestern Atlantic. On the other hand, anomalously dry conditions in winter and late spring during La Nina are favored by long-lasting and intense ridges at subtropical latitudes over the SE Pacific and South America resulting in a southward migration of the midlatitude storm tracks. In summer, a higher frequency of ridges in the southern tip of the South America during El Nino episodes presumably contributes to reinforcement of the southern edge of the subtropical anticyclone in the SE Pacific, which at this time of the year reaches its southernmost position, resulting in the annual rainfall minimum. On the other hand, an increased frequency of cyclonic circulation anomalies crossing the southern tip of the continent is associated with relatively wet conditions in southern-central Chile, particularly during La Nina events.</t>
  </si>
  <si>
    <t>Univ Chile, Dept Geophys, Santiago, Chile</t>
  </si>
  <si>
    <t>Universidad de Chile</t>
  </si>
  <si>
    <t>Ctr Invest Oceanog Pacifico SurOriental, Dept Oceanog, Cabina 7,Casilla 160-C, Concepcion 3, Chile.</t>
  </si>
  <si>
    <t>amonteci@profc.udec.cl</t>
  </si>
  <si>
    <t>Aceituno, Patricio/J-4987-2016</t>
  </si>
  <si>
    <t>Aceituno, Patricio/0009-0003-9680-0917</t>
  </si>
  <si>
    <t>1520-0442</t>
  </si>
  <si>
    <t>10.1175/1520-0442(2003)016&lt;0281:SOTERR&gt;2.0.CO;2</t>
  </si>
  <si>
    <t>WOS:000180395900006</t>
  </si>
  <si>
    <t>Pourchet, M; Magand, O; Frezzotti, M; Ekaykin, A; Winther, JG</t>
  </si>
  <si>
    <t>Radionuclides deposition over Antarctica</t>
  </si>
  <si>
    <t>JOURNAL OF ENVIRONMENTAL RADIOACTIVITY</t>
  </si>
  <si>
    <t>radionuclides deposition; flux; Antarctica</t>
  </si>
  <si>
    <t>FALLOUT; ACCUMULATION; CS-137; PB-210; GLACIERS; CORES; ICE</t>
  </si>
  <si>
    <t>A detailed and comprehensive map of the distribution patterns for both natural and artificial radionuclides over Antarctica has been established. This work integrates the results of several decades of international programs focusing on the analysis of natural and artificial radionuclides in snow and ice cores from this polar region. The mean value (37+/-20 Bq m(-2)) of Pu-241 total deposition over 28 stations is determined from the gamma emissions of its daughter Am-241, presenting a long half-life (432.7 yrs). Detailed profiles and distributions of Pu-241 in ice cores make it possible to clearly distinguish between the atmospheric thermonuclear tests of the fifties and sixties. Strong relationships are also found between radionuclide data (Cs-137 with respect to Pu-241 and Pb-210 with respect to Cs-137), make it possible to estimate the total deposition or natural fluxes of these radionuclides. Total deposition of Cs-117 over Antarctica is estimated at 760 TBq, based on results from the 90-180degrees East sector. Given the irregular distribution of sampling sites, more ice cores and snow samples must be analyzed in other sectors of Antarctica to check the validity of this figure. (C) 2003 Elsevier Science Ltd. All rights reserved.</t>
  </si>
  <si>
    <t>CNRS, Lab Glaciol &amp; Geophys Environm, F-38402 St Martin Dheres, France; ENEA, CLIM OSS, I-00100 Rome, Italy; Arctic &amp; Antarctic Res Inst, St Petersburg 199397, Russia; Norwegian Polar Res Inst, Polar Environm Ctr, Tromso, Norway</t>
  </si>
  <si>
    <t>Centre National de la Recherche Scientifique (CNRS); Italian National Agency New Technical Energy &amp; Sustainable Economics Development; Arctic &amp; Antarctic Research Institute; Norwegian Polar Institute</t>
  </si>
  <si>
    <t>Magand, O (corresponding author), CNRS, Lab Glaciol &amp; Geophys Environm, BP 96, F-38402 St Martin Dheres, France.</t>
  </si>
  <si>
    <t>FREZZOTTI, Massimo/AAK-7275-2020; Ekaykin, Alexey A./K-9894-2015; Lipenkov, Vladimir/Q-8262-2016</t>
  </si>
  <si>
    <t>FREZZOTTI, Massimo/0000-0002-2461-2883; Lipenkov, Vladimir/0000-0003-4221-5440</t>
  </si>
  <si>
    <t>0265-931X</t>
  </si>
  <si>
    <t>J ENVIRON RADIOACTIV</t>
  </si>
  <si>
    <t>J. Environ. Radioact.</t>
  </si>
  <si>
    <t>10.1016/S0265-931X(03)00055-9</t>
  </si>
  <si>
    <t>687LF</t>
  </si>
  <si>
    <t>WOS:000183377600004</t>
  </si>
  <si>
    <t>Green, JA; Butler, RJ; Woakes, AJ; Boyd, IL</t>
  </si>
  <si>
    <t>Energetics of diving in macaroni penguins</t>
  </si>
  <si>
    <t>JOURNAL OF EXPERIMENTAL BIOLOGY</t>
  </si>
  <si>
    <t>energetics; diving; macaroni penguin; heart rate; abdominal temperature; rate of oxygen consumption; calculated aerobic dive limit</t>
  </si>
  <si>
    <t>DUCK AYTHYA-FULIGULA; HEART-RATE; SOUTH GEORGIA; KING PENGUINS; EUDYPTES-CHRYSOLOPHUS; OXYGEN-CONSUMPTION; EMPEROR PENGUINS; APTENODYTES-PATAGONICUS; BODY-TEMPERATURE; ADELIE PENGUINS</t>
  </si>
  <si>
    <t>Heart rate (fH), abdominal temperature (T-ab) and diving depth were measured in thirteen free-ranging breeding female macaroni penguins. Measurement of these variables allowed estimation of the mass-specific rate of oxygen consumption ((V) over dot O-2) while diving and investigation of the physiological adjustments that might facilitate the diving behaviour observed in this species. In common with other diving birds, macaroni penguins showed significant changes in fH associated with diving, and these variables accounted for 36% of the variation in dive duration. When (V) over dot O-2 was calculated for dives of different durations, 95.3% of dives measured were within the calculated aerobic dive limit (cADL) for this species. Mean fH for all complete dive cycles was 147+/-6 beats min(-1). When this fH is used to estimate (V) over dot O-2 of 26.2+/-1.4 ml min(-1) kg(-1) then only 92.8% of dives measured were within the cADL. Significant changes in abdominal temperature were not detected within individual dives, though the time constant of the measuring device used may not have been low enough to record these changes if they were present. Abdominal temperature did decline consistently during bouts of repeated diving of all durations and the mean decrease in T-ab during a diving bout was 2.32+/-0.20degreesC. There was a linear relationship between bout duration and the magnitude of this temperature drop. There was no commensurate increase in dive duration during dive bouts as T-ab declined, suggesting that macaroni penguins are diving within their physiological limits and that factors other than T-ab are important in determining the duration of dives and dive bouts. Lowered T-ab will in turn facilitate lower metabolic rates during diving bouts, but it was not possible in the present study to determine the importance of this energy saving and whether it is occurs actively or passively.</t>
  </si>
  <si>
    <t>Univ Birmingham, Sch Biosci, Birmingham B15 2TT, W Midlands, England; British Antarctic Survey, Cambridge CB3 0ET, England</t>
  </si>
  <si>
    <t>University of Birmingham; UK Research &amp; Innovation (UKRI); Natural Environment Research Council (NERC); NERC British Antarctic Survey</t>
  </si>
  <si>
    <t>Butler, RJ (corresponding author), Univ Birmingham, Sch Biosci, Birmingham B15 2TT, W Midlands, England.</t>
  </si>
  <si>
    <t>Woakes, Anthony/JYD-0387-2024; Green, Jonathan A/B-8799-2011</t>
  </si>
  <si>
    <t>Green, Jonathan A/0000-0001-8692-0163</t>
  </si>
  <si>
    <t>COMPANY OF BIOLOGISTS LTD</t>
  </si>
  <si>
    <t>BIDDER BUILDING CAMBRIDGE COMMERCIAL PARK COWLEY RD, CAMBRIDGE CB4 4DL, CAMBS, ENGLAND</t>
  </si>
  <si>
    <t>0022-0949</t>
  </si>
  <si>
    <t>J EXP BIOL</t>
  </si>
  <si>
    <t>J. Exp. Biol.</t>
  </si>
  <si>
    <t>10.1242/jeb.00059</t>
  </si>
  <si>
    <t>637ZN</t>
  </si>
  <si>
    <t>WOS:000180543700004</t>
  </si>
  <si>
    <t>Smalll, DJ; Moylan, T; Vayda, ME; Sidell, BD</t>
  </si>
  <si>
    <t>The myoglobin gene of the Antarctic icefish, Chaenocephalus aceratus, contains a duplicated TATAAAA sequence that interferes with transcription</t>
  </si>
  <si>
    <t>myoglobin; Antarctic fish; heart muscle; gene expression; promoter regulation; oxygen transport; icefish; Chaenocephalus aceratus; Channichthyidae</t>
  </si>
  <si>
    <t>CRYSTAL-STRUCTURE; EXPRESSION; FISHES; MUSCLE; MYOCARDIUM; EVOLUTION; PROMOTER; FAMILY; OXYGEN; MYOD</t>
  </si>
  <si>
    <t>Six of the 16 known species of Antarctic icefish (family Channichthyidae) have lost the ability to express cardiac myoglobin (Mb) via at least four independent events during radiation of these species. We report here that the lesion in Chaenocephalus aceratus Mb is a duplicated TATAAAA element that blocks transcription. This lesion is distinct from those of other icefish species that do not express cardiac Mb. The C. aceratus Mb gene is nearly identical to that of Chionodraco rastrospinosus, a closely related Mb-expressing icefish species, with one exception. A 15-bp segment is present in C. aceratus but absent from C. rastrospinosus; this insertion is located 648 bp upstream from the reference transcription start site of C. rastrospinosus and includes the sequence TATAAAA, which bound HeLa cell transcription factor DID (TFIED) and icefish nuclear proteins in gel-retardation assays. Reporter constructs containing the 'full-length' C. aceratus Mb promoter were not expressed in transient expression assays in oxidative skeletal muscle of live icefish. By contrast, constructs employing the nearly identical 'full-length' C. rastrospinosus Mb promoter were efficiently expressed in parallel assays in the same tissue. Truncated constructs of C. aceratus Mb that did not contain the 15-bp duplication were expressed at very low levels. These data confirm a third independent mechanism of Mb loss among channichthyid species, indicate that C. aceratus aerobic muscle is capable of expressing functional Mb genes and demonstrate that duplication of the muscle-specific TATAAAA sequence in an inappropriate context can result in loss of a gene's expression, resulting in significant physiological consequences.</t>
  </si>
  <si>
    <t>Univ Maine, Sch Marine Sci, Orono, ME 04469 USA; Univ Maine, Dept Biochem Microbiol &amp; Mol Biol, Orono, ME 04469 USA</t>
  </si>
  <si>
    <t>University of Maine System; University of Maine Orono; University of Maine System; University of Maine Orono</t>
  </si>
  <si>
    <t>Sidell, BD (corresponding author), Univ Maine, Sch Marine Sci, Orono, ME 04469 USA.</t>
  </si>
  <si>
    <t>10.1242/jeb.00067</t>
  </si>
  <si>
    <t>WOS:000180543700011</t>
  </si>
  <si>
    <t>Brodeur, JC; Calvo, J; Johnston, IA</t>
  </si>
  <si>
    <t>Proliferation of myogenic progenitor cells following feeding in the sub-antarctic notothenioid fish Harpagifer bispinis</t>
  </si>
  <si>
    <t>myogenic progenitor cell; notothemoid fish; Harpagifer bispinis; temperature; photoperiod; satellite cells; specific dynamic action; oxygen consumption</t>
  </si>
  <si>
    <t>TROUT ONCORHYNCHUS-MYKISS; MUSCLE SATELLITE CELLS; RAINBOW-TROUT; PROTEIN-SYNTHESIS; SKELETAL-MUSCLE; DYNAMIC ACTION; COUNTERGRADIENT VARIATION; TRANSCRIPTION FACTORS; OXYGEN-CONSUMPTION; CHANNEL CATFISH</t>
  </si>
  <si>
    <t>Feeding metabolism and the activation of myogenic progenitor cells were investigated in the fast myotomal muscle of the sub-Antarctic fish Hapagifer bispinis acclimatized to either simulated summer (10degreesC; 18h:6h light:dark) or simulated winter (5degreesC; 6h:18h light:dark) conditions. Ingestion of a single meal equivalent to 10% and 15% of body mass in simulated winter and summer groups, respectively, resulted in an average 2.6-fold and 3.6-fold increase in oxygen consumption, declining to 75% of peak values after 63 h and 46 h. In fasted individuals, the number of myogenic progenitor cells, identified by the expression of c-met, was not significantly different between simulated summer and winter fish, representing 6.6% and 5.8% of total myonuclei, respectively. However, the number of cells expressing myogenin was higher whereas the expression of MyoD was lower in winter than in summer groups. The ingestion of a single meal under winter and summer treatment regimes resulted in a significant increase in the number of cells expressing MyoD (51% and 111%) and PCNA (88% and 140%, respectively). This was followed by an increase in the abundance of c-met (74 and 85%) and myogenin (42 and 97%, respectively) positive cells, indicating the production of new myogenic progenitor cells and the commitment to differentiation of a number of them. These results show that the proliferation of myogenic progenitor cells can be induced by feeding in teleost fishes and that temperature and photoperiod influence the expression of myogenic regulatory factors.</t>
  </si>
  <si>
    <t>Univ St Andrews, Gatty Marine Lab, Sch Biol, Div Environm &amp; Evolutionary Biol, St Andrews KY16 8LB, Fife, Scotland; Consejo Nacl Invest Cient &amp; Tecn, CADIC, RA-9410 Ushuaia, Tierra Del Fueg, Argentina</t>
  </si>
  <si>
    <t>University of St Andrews; Consejo Nacional de Investigaciones Cientificas y Tecnicas (CONICET)</t>
  </si>
  <si>
    <t>Brodeur, JC (corresponding author), Dow Chem Co USA, Toxicol &amp; Environm Res &amp; Consulting Lab, 1803N Bldg, Midland, MI 48674 USA.</t>
  </si>
  <si>
    <t>Brodeur, Julie Céline/I-6576-2019; Johnston, Ian A/D-6592-2013; Johnston, Ian A./AAE-2044-2019</t>
  </si>
  <si>
    <t>Brodeur, Julie Céline/0000-0001-5408-6645;</t>
  </si>
  <si>
    <t>10.1242/jeb.00052</t>
  </si>
  <si>
    <t>WOS:000180543700014</t>
  </si>
  <si>
    <t>Wharton, DA; Goodall, G; Marshall, CJ</t>
  </si>
  <si>
    <t>Freezing survival and cryoprotective dehydration as cold tolerance mechanisms in the Antarctic nematode Panagrolaimus davidi</t>
  </si>
  <si>
    <t>Antarctic; nematode; Panagrolaimus davidi; freezing; ice; nucleation; dehydration</t>
  </si>
  <si>
    <t>ONYCHIURUS-ARCTICUS TULLBERG; HARDINESS; TEMPERATURE; SOIL</t>
  </si>
  <si>
    <t>The relative importance of freezing tolerance and cryoprotective dehydration in the Antarctic nematode Panagrolaimus davidi has been investigated. If nucleation of the medium is initiated at a high subzero temperature (-1degreesC), the nematodes do not freeze but dehydrate. This effect occurs in deionised water, indicating that the loss of water is driven by the difference in vapour pressure of ice and supercooled water at the same temperature. If the nematodes are held above their nucleation temperature for a sufficient time, or are cooled slowly, enough water is lost to prevent freezing (cryoprotective dehydration). However, if the medium is nucleated at lower temperatures or if the sample is cooled at a faster cooling rate, the nematodes freeze and can survive intracellular ice formation. P. davidi thus has a variety of mechanisms that ensure its survival in its harsh terrestrial Antarctic habitat.</t>
  </si>
  <si>
    <t>Univ Otago, Dept Zool, Dunedin, New Zealand; Univ Otago, Dept Biochem, Dunedin, New Zealand</t>
  </si>
  <si>
    <t>University of Otago; University of Otago</t>
  </si>
  <si>
    <t>Wharton, DA (corresponding author), Univ Otago, Dept Zool, POB 56, Dunedin, New Zealand.</t>
  </si>
  <si>
    <t>Marshall, Craig J./C-6668-2009</t>
  </si>
  <si>
    <t>Marshall, Craig J./0000-0003-4186-0368; Wharton, David/0000-0001-6369-4984</t>
  </si>
  <si>
    <t>10.1242/jeb.00083</t>
  </si>
  <si>
    <t>640XG</t>
  </si>
  <si>
    <t>WOS:000180713600001</t>
  </si>
  <si>
    <t>O'Brien, KM; Skilbeck, C; Sidell, BD; Egginton, S</t>
  </si>
  <si>
    <t>Muscle fine structure may maintain the function of oxidative fibres in haemoglobinless Antarctic fishes</t>
  </si>
  <si>
    <t>muscle; haemoglobin; Antarctic icefish; capillary supply; metabolic enzyme; lipid; mitochondria</t>
  </si>
  <si>
    <t>SKELETAL-MUSCLE; PHOSPHOENOLPYRUVATE CARBOXYKINASE; LACTATE-DEHYDROGENASE; RESPIRATORY SYSTEM; OXYGEN DIFFUSION; MITOCHONDRIAL; METABOLISM; DENSITY; PHOSPHOFRUCTOKINASE; ACCLIMATION</t>
  </si>
  <si>
    <t>Muscle fine structure and metabolism were examined in four species of Antarctic fishes that vary in their expression of haemoglobin (Hb). To determine how locomotory pectoral muscles maintain function, metabolic capacity, capillary supply and fibre ultrastructure were examined in two nototheniid species that express Hb (Notothenia coriiceps and Gobionotothen gibberifrons) and two species of channichthyid icefish that lack Hb (Chaenocephalus aceratus and Chionodraco rastrospinosus). Surprisingly, icefish have higher densities of mitochondria than red-blooded species (C aceratus, 53+/-3% of cell volume; C. rastrospinosus, 39+/-3%; N. coriiceps, 29+/-3%; G. gibberiftons, 25+/-1%). Despite higher mitochondrial densities the aerobic metabolic capacities per g wet mass, estimated from measurements of maximal activities of key metabolic enzymes, are lower in icefish compared to red-blooded species. This apparent incongruity can be explained by the significantly lower mitochondrial cristae surface area per unit mitochondrion volume in icefishes (C. aceratus, 20.8+/-1.6 mum(-1); C. rastrospinosus, 25.5+/-1.8 mum(-1)) compared to red-blooded species (N. coriiceps, 33.6+/-3.0 mum(-1); G. gibberifrons, 37.7+/-3.6 mum(-1)). Consequently, the cristae surface area per unit muscle mass is conserved at approximately 9 m(2) g(-1). Although high mitochondrial densities in icefish muscle do not enhance aerobic metabolic capacity, they may facilitate intracellular oxygen movement because oxygen is more soluble in lipid, including the hydrocarbon core of intracellular membrane systems, than in aqueous cytoplasm. This may be particularly vital in icefish, which have larger oxidative muscle fibres compared to red-blooded nototheniods (C. aceratus, 2932+/-428 mum(2); C. rastrospinosus, 9352+/- 318 mum(2); N. coriiceps, 1843+/-312 mum(2); G. gibberifrons, 2103+/-194 mum(2)). These large fibres contribute to a relatively low capillary density, which is partially compensated for in icefish by a high index of tortuosity in the capillary bed (C. aceratus=1.4, N. coriiceps=1.1).</t>
  </si>
  <si>
    <t>Univ Birmingham, Dept Physiol, Birmingham B15 2TT, W Midlands, England; Univ Maine, Sch Marine Sci, Orono, ME 04469 USA</t>
  </si>
  <si>
    <t>University of Birmingham; University of Maine System; University of Maine Orono</t>
  </si>
  <si>
    <t>Univ Birmingham, Dept Physiol, Birmingham B15 2TT, W Midlands, England.</t>
  </si>
  <si>
    <t>s.egginton@bham.ac.uk</t>
  </si>
  <si>
    <t>Egginton, Stuart/0000-0002-3084-9692</t>
  </si>
  <si>
    <t>COMPANY BIOLOGISTS LTD</t>
  </si>
  <si>
    <t>BIDDER BUILDING, STATION RD, HISTON, CAMBRIDGE CB24 9LF, ENGLAND</t>
  </si>
  <si>
    <t>1477-9145</t>
  </si>
  <si>
    <t>10.1242/jeb.00088</t>
  </si>
  <si>
    <t>WOS:000180713600020</t>
  </si>
  <si>
    <t>Adams, EE; Miller, DA</t>
  </si>
  <si>
    <t>Ice crystals grown from vapor onto an orientated substrate: application to snow depth-hoar development and gas inclusions in lake ice</t>
  </si>
  <si>
    <t>JOURNAL OF GLACIOLOGY</t>
  </si>
  <si>
    <t>TEMPERATURE-GRADIENT; HABITS; RATES</t>
  </si>
  <si>
    <t>A laboratory experiment was conducted in which new ice crystals were nucleated from the vapor phase onto large existing ice crystals obtained from Antarctic lake ice. Flat, smooth ice-crystal surfaces were prepared, with c axes oriented either vertically or horizontally. When these were subjected to a supersaturated vapor environment, multiple individual crystals nucleated onto the substrates adopting the same crystallographic orientation as the parent. A dominant grain-growth scenario for kinetic-growth metamorphism in snow, which in some ways is analogous to the oriented morphologies in lake ice, is hypothesized. In the lake-ice-growth scenario, optimally oriented crystals will grow at the expense of those less preferentially positioned. The proposed dominant grain-growth theory for snow is in agreement with the observed decrease in the number of grains and the proximal similarity of crystal habit in kinetic-growth metamorphism in snow Similarly, kinetic crystal growth on the interior of gas inclusions in Antarctic lake ice will also acquire the crystallographic orientation of the substrate ice. These small-faceted interior crystals significantly influence light scattering and penetration in the lake-ice cover.</t>
  </si>
  <si>
    <t>Montana State Univ, Dept Civil Engn, Bozeman, MT 59717 USA</t>
  </si>
  <si>
    <t>Montana State University System; Montana State University Bozeman</t>
  </si>
  <si>
    <t>Montana State Univ, Dept Civil Engn, Bozeman, MT 59717 USA.</t>
  </si>
  <si>
    <t>eda@ce.montana.edu</t>
  </si>
  <si>
    <t>Miller, Duane Alexander/AAA-3900-2019</t>
  </si>
  <si>
    <t>EDINBURGH BLDG, SHAFTESBURY RD, CB2 8RU CAMBRIDGE, ENGLAND</t>
  </si>
  <si>
    <t>0022-1430</t>
  </si>
  <si>
    <t>1727-5652</t>
  </si>
  <si>
    <t>J GLACIOL</t>
  </si>
  <si>
    <t>J. Glaciol.</t>
  </si>
  <si>
    <t>10.3189/172756503781830953</t>
  </si>
  <si>
    <t>771DV</t>
  </si>
  <si>
    <t>WOS:000188771100002</t>
  </si>
  <si>
    <t>MacAyeal, DR; Scambos, TA; Hulbe, CL; Fahnestock, MA</t>
  </si>
  <si>
    <t>Catastrophic ice-shelf break-up by an ice-shelf-fragment-capsize mechanism</t>
  </si>
  <si>
    <t>ANTARCTIC PENINSULA; FRACTURE; COLLAPSE; RETREAT; CLIMATE</t>
  </si>
  <si>
    <t>Two disintegration events leading to the loss of Larsen A and B ice shelves, Antarctic Peninsula, in 1995 and 2002, respectively, proceeded with extreme rapidity (order of several days) and reduced an extensive, seemingly integrated ice shelf to a jumble of small fragments. These events strongly correlate with warming regional climate and accumulation of surface meltwater, supporting a hypothesis that meltwater-induced propagation of pre-existing surface crevasses may have initiated ice-shelf fragmentation. We address here an additional, subsequent mechanism that may sustain and accelerate the ice-shelf break-up once it begins. The proposed mechanism involves the coherent capsize of narrow (less than thickness) ice-shelf fragments by rolling 90degrees in a direction toward, or away from, the ice front. Fragment capsize liberates gravitational potential energy, forces open ice-shelf rifts and contributes to further fragmentation of the surrounding ice shelf.</t>
  </si>
  <si>
    <t>Univ Chicago, Dept Geophys Sci, Chicago, IL 60637 USA; Univ Colorado, Cooperat Inst Res Environm Sci, Natl Snow &amp; Ice Data Ctr, Boulder, CO 80309 USA; Portland State Univ, Dept Geol, Portland, OR 97207 USA; Univ New Hampshire, Inst Study Earth Oceans &amp; Space, Complex Syst Res Ctr, Durham, NH 03824 USA</t>
  </si>
  <si>
    <t>University of Chicago; University of Colorado System; University of Colorado Boulder; Portland State University; University System Of New Hampshire; University of New Hampshire</t>
  </si>
  <si>
    <t>MacAyeal, DR (corresponding author), Univ Chicago, Dept Geophys Sci, 5734 S Ellis Ave, Chicago, IL 60637 USA.</t>
  </si>
  <si>
    <t>drm7@midway.chicago.edu</t>
  </si>
  <si>
    <t>Fahnestock, Mark A/N-2678-2013; Scambos, Ted A/B-1856-2009</t>
  </si>
  <si>
    <t>MacAyeal, Douglas/0000-0003-0647-6176; Hulbe, Christina/0000-0003-4765-7037; SCAMBOS, Ted A./0000-0003-4268-6322</t>
  </si>
  <si>
    <t>INT GLACIOL SOC</t>
  </si>
  <si>
    <t>LENSFIELD RD, CAMBRIDGE CB2 1ER, ENGLAND</t>
  </si>
  <si>
    <t>10.3189/172756503781830863</t>
  </si>
  <si>
    <t>WOS:000188771100004</t>
  </si>
  <si>
    <t>Lowe, AL; Anderson, JB</t>
  </si>
  <si>
    <t>Evidence for abundant subglacial meltwater beneath the paleo-ice sheet in Pine Island Bay, Antarctica</t>
  </si>
  <si>
    <t>PLEISTOCENE-HOLOCENE RETREAT; LAST GLACIAL MAXIMUM; STREAM-B; WEST ANTARCTICA; NORTHWEST GERMANY; EROSIONAL MARKS; TUNNEL CHANNELS; AMUNDSEN SEA; ROSS SEA; HISTORY</t>
  </si>
  <si>
    <t>Marine-geological and -geophysical data collected from the continental shelf in Pine Island Bay, Antarctica, reveal a complex paleo-subglacial drainage system controlled by bedrock topography and subglacial meltwater discharge. Significant amounts of freely flowing meltwater existed beneath former ice sheets in Pine Island Bay. Subglacial drainage is characterized by descriptions of glacial landforms imaged on the sea floor and sedimentary deposits collected in piston cores. Bedrock geology is characterized using seismic data. Large-scale landforms on the shelf include channels and cavities incised into impermeable crystalline bedrock. There is a transition from randomly oriented channels on the inner shelf to a dendritic pattern of elongate channels on the middle shelf. On the outer shelf, a change in basal conditions occurs where sedimentary deposits bury crystalline bedrock. No evidence for flowing meltwater exists on sedimentary substrates. Instead, meltwater formed at the ice-sediment contact was incorporated into the sediments, contributing to development of a deforming bed, which was sampled in piston cores. Characterization of subglacial meltwater processes that occurred in the past may aid in understanding the role meltwater plays in stability of the West Antarctic ice sheet today.</t>
  </si>
  <si>
    <t>Rice Univ, Dept Earth Sci, Houston, TX 77005 USA</t>
  </si>
  <si>
    <t>Rice University</t>
  </si>
  <si>
    <t>Raytheon Polar Serv Co, 7400 S Tucson Way, Centennial, CO 80112 USA.</t>
  </si>
  <si>
    <t>alowe@frontier.net</t>
  </si>
  <si>
    <t>Anderson, John/B-1011-2012</t>
  </si>
  <si>
    <t>10.3189/172756503781830971</t>
  </si>
  <si>
    <t>WOS:000188771100013</t>
  </si>
  <si>
    <t>Popov, SV; Sheremet'yev, AN; Masolov, VN; Lukin, VV; Mironov, AV; Luchininov, VS</t>
  </si>
  <si>
    <t>Velocity of radio-wave propagation in ice at Vostok station, Antarctica</t>
  </si>
  <si>
    <t>REFRACTION CORRECTION</t>
  </si>
  <si>
    <t>During the austral summer field season of the Russian Antarctic Expedition in 1999/2000, wide-angle reflections experiments were performed in the vicinity of the Russian station Vostok. A 60 MHz ice radar system with 12-bit digital recording was used. The measurements were taken along two perpendicular lines directed south-north and east-west with a distance of 200 m between marks. We used a one-layer model (without snow-firn zone influence) for the calculations. We calculate that the average velocity of radio-wave propagation in the ice sheet is 168.4 +/- 0.5 m mus(-1). The same velocity was derived from hyperbolic diffractions from internal discontinuities. The results allow more accurate depth interpretation of radio-echo soundings.</t>
  </si>
  <si>
    <t>PMGRE, St Petersburg 189510, Russia; RAE, St Petersburg 199397, Russia; GNPP Sevmorgeo, St Petersburg 198095, Russia</t>
  </si>
  <si>
    <t>Popov, SV (corresponding author), PMGRE, 24 Pobeda St, St Petersburg 189510, Russia.</t>
  </si>
  <si>
    <t>spopov@polarex.spb.ru</t>
  </si>
  <si>
    <t>Popov, Sergey V./I-2319-2013; Popov, Sergey/IYJ-2371-2023; Lukin, Valeriy/N-1147-2015</t>
  </si>
  <si>
    <t>Popov, Sergey V./0000-0002-1830-8658; Popov, Sergey/0000-0002-1830-8658; Lukin, Valeriy/0000-0003-1726-7361</t>
  </si>
  <si>
    <t>10.3189/172756503781830755</t>
  </si>
  <si>
    <t>771DW</t>
  </si>
  <si>
    <t>WOS:000188771200003</t>
  </si>
  <si>
    <t>Spikes, VB; Csathó, BM; Whillans, IM</t>
  </si>
  <si>
    <t>Laser profiling over Antarctic ice streams:: methods and accuracy</t>
  </si>
  <si>
    <t>LONG VALLEY; CALIFORNIA; ELEVATION; ALTIMETRY; ALASKA; SHEET</t>
  </si>
  <si>
    <t>We assess the accuracy and precision of the U.S. National Science Foundation's Support Office for Aerogeophysical Research (SOAR) laser profiling system for mapping topography and detecting surface elevation changes of West Antarctic ice streams. The procedures used to process, calibrate and validate the laser, navigation and global positioning system (GPS) data are presented. The primary objective is to produce surface elevations with the best possible resolution. Repeat surveys of a grid of lines over Whillans Ice Stream and Ice Streams C and E were conducted in the 1997/98 and 1999/2000 seasons. The procedure has been calibrated using special test flights conducted over areas that have been surveyed with precise geodetic GPS equipment mounted on snowmobiles. After calibration, agreement between the two surfaces is +/-10 cm rms. The accuracy and precision of the procedure have been evaluated at points where laser flight-lines cross over one another. The accuracy of the system is found to range from 0.09 to 0.22 m.</t>
  </si>
  <si>
    <t>Ohio State Univ, Byrd Polar Res Ctr, Columbus, OH 43210 USA; Univ Maine, Dept Geol Sci, Orono, ME 04469 USA; Univ Maine, Inst Quaternary &amp; Climate Studies, Orono, ME 04469 USA</t>
  </si>
  <si>
    <t>University System of Ohio; Ohio State University; University of Maine System; University of Maine Orono; University of Maine System; University of Maine Orono</t>
  </si>
  <si>
    <t>Spikes, VB (corresponding author), Ohio State Univ, Byrd Polar Res Ctr, 1090 Carmack Rd, Columbus, OH 43210 USA.</t>
  </si>
  <si>
    <t>vandy.spikes@maine.edu</t>
  </si>
  <si>
    <t>Csatho, Beata/KGK-9301-2024</t>
  </si>
  <si>
    <t>10.3189/172756503781830737</t>
  </si>
  <si>
    <t>WOS:000188771200015</t>
  </si>
  <si>
    <t>Pritchard, H; Murray, T; Strozzi, T; Barr, S; Luckman, A</t>
  </si>
  <si>
    <t>Surge-related topographic change of the glacier Sortebrae, East Greenland, derived from synthetic aperture radar interferometry</t>
  </si>
  <si>
    <t>SAR INTERFEROMETRY; ICE DYNAMICS; SVALBARD; FLOW; SHEET</t>
  </si>
  <si>
    <t>A major surge of the glacier complex of Sortebrae, East Greenland, occurred between 1992 and 1995. The impact of this surge on the topography of Sortebrae was examined through the production of a pre-surge (1981) digital elevation model (DEM) front interpolated digital map data, and a post-surge DEM from differential synthetic aperture radar interferometry using European Remote-sensing Satellite (ERS) imagery The combined vertical error is typically 30-40 m; however, downdraw of up to 270 in in the reservoir zone, and uplift of up to 145 m in the receiving zone were measured. The upper glacier reservoir area discharged in excess of 24.3 +/- 9.5 km(3) Volume Over the surge. of which similar to12.5 km(3) was stored in the advanced lower glacier, the balance being lost, predominantly to calving.</t>
  </si>
  <si>
    <t>Univ Leeds, Sch Geog, Leeds LS2 9JT, W Yorkshire, England; Univ Coll Swansea, Dept Geog, Swansea SA2 8PP, W Glam, Wales; Gamma Remote Sensing, CH-3074 Muri, BE, Switzerland</t>
  </si>
  <si>
    <t>University of Leeds; Swansea University; GAMMA Remote Sensing AG</t>
  </si>
  <si>
    <t>Pritchard, H (corresponding author), British Antarctic Survey, NERC, Madingley Rd, Cambridge CB3 0ET, England.</t>
  </si>
  <si>
    <t>h.pritchard@bas.ac.uk</t>
  </si>
  <si>
    <t>Pritchard, Hamish Daniel/AAU-4696-2021; Luckman, Adrian/GVS-1716-2022</t>
  </si>
  <si>
    <t>Murray, Tavi/0000-0001-6714-6512; Barr, Stuart/0000-0002-0433-5188; Luckman, Adrian/0000-0002-9618-5905</t>
  </si>
  <si>
    <t>10.3189/172756503781830593</t>
  </si>
  <si>
    <t>807SM</t>
  </si>
  <si>
    <t>WOS:000220521200006</t>
  </si>
  <si>
    <t>Ivanov, BV; Gerland, S; Winther, JG; Goodwin, H</t>
  </si>
  <si>
    <t>Energy exchange processes in the marginal ice zone of the Barents Sea, Arctic Ocean, during spring 1999</t>
  </si>
  <si>
    <t>ROUGHNESS; MODEL</t>
  </si>
  <si>
    <t>We present some new results describing energy exchange processes of drifting sea ice in the marginal ice zone (MIZ) in the Barents Sea, Arctic Ocean. All measurements and observations of meteorological parameters and ice conditions were taken on board the Norwegian research vessel Lance from 3 to 22 May 1999. Components of surface heat balance were measured and correlated with ice conditions and synoptic observations. These results can be used in atmospheric boundary layer modelling as lower boundary conditions. A relationship was found between modelled turbulent heat fluxes and observed sea-ice concentrations.</t>
  </si>
  <si>
    <t>Arctic &amp; Antarctic Res Inst, St Petersburg 199397, Russia; Norwegian Polar Res Inst, Polar Environm Ctr, N-9296 Tromso, Norway</t>
  </si>
  <si>
    <t>Arctic &amp; Antarctic Research Institute; Norwegian Polar Institute</t>
  </si>
  <si>
    <t>Ivanov, BV (corresponding author), Arctic &amp; Antarctic Res Inst, St Petersburg 199397, Russia.</t>
  </si>
  <si>
    <t>b_ivanov@aari.nw.ru</t>
  </si>
  <si>
    <t>10.3189/172756503781830557</t>
  </si>
  <si>
    <t>WOS:000220521200010</t>
  </si>
  <si>
    <t>Thorsteinsson, T; Raymond, CF; Gudmundsson, GH; Bindschadler, RA; Vornberger, P; Joughin, I</t>
  </si>
  <si>
    <t>Bed topography and lubrication inferred from surface measurements on fast-flowing ice streams</t>
  </si>
  <si>
    <t>VELOCITY; BALANCE; BASE</t>
  </si>
  <si>
    <t>Observations of surface elevation (s) and horizontal velocity components (u and v) are inverted to infer the topography (b) and lubrication (c) at the bed of an ice stream, based on a linearized perturbation theory of the transmission of flow disturbances through the ice thickness. Synthetic data are used to illustrate non-uniqueness in the inversion, but also demonstrate that effects of b and c can be separated when s, u, and v are specified, even with added noise to simulate measurement errors. We have analyzed prominent short-horizontal-scale (similar to2 km) features in topography and velocity pattern in a local 64 km by 32 km area of the surface of Ice Stream E, West Antarctica. Our preferred interpretation of bed conditions beneath the most prominent features on the surface identifies a deep trough in the basal topography with low lubrication in the base of the trough.</t>
  </si>
  <si>
    <t>Univ Washington, Dept Earth &amp; Space Sci, Seattle, WA 98195 USA; British Antarctic Survey, NERC, Cambridge CB3 0ET, England; NASA, Goddard Space Flight Ctr, Greenbelt, MD 20771 USA; CALTECH, Jet Prop Lab, Pasadena, CA 91109 USA</t>
  </si>
  <si>
    <t>University of Washington; University of Washington Seattle; UK Research &amp; Innovation (UKRI); Natural Environment Research Council (NERC); NERC British Antarctic Survey; National Aeronautics &amp; Space Administration (NASA); NASA Goddard Space Flight Center; California Institute of Technology; National Aeronautics &amp; Space Administration (NASA); NASA Jet Propulsion Laboratory (JPL)</t>
  </si>
  <si>
    <t>Univ Iceland, Inst Sci, Sturlugata 7, IS-101 Reykjavik, Iceland.</t>
  </si>
  <si>
    <t>throstur@turdus.net</t>
  </si>
  <si>
    <t>Joughin, Ian/AAR-7778-2021; Joughin, Ian R/A-2998-2008; Thorsteinsson, Throstur/A-8960-2008; Thorsteinsson, Throstur/M-5458-2019; Gudmundsson, Gudmundur Hilmar/F-6499-2012; Gudmundsson, Gudmundur Hilmar/AAU-5987-2020</t>
  </si>
  <si>
    <t>Joughin, Ian/0000-0001-6229-679X; Joughin, Ian R/0000-0001-6229-679X; Thorsteinsson, Throstur/0000-0001-5964-866X; Thorsteinsson, Throstur/0000-0001-5964-866X; Gudmundsson, Gudmundur Hilmar/0000-0003-4236-5369; Gudmundsson, Gudmundur Hilmar/0000-0003-4236-5369</t>
  </si>
  <si>
    <t>10.3189/172756503781830502</t>
  </si>
  <si>
    <t>847VD</t>
  </si>
  <si>
    <t>WOS:000223425100002</t>
  </si>
  <si>
    <t>Reijmer, CH; Van Den Broeke, MR</t>
  </si>
  <si>
    <t>Temporal and spatial variability of the surface mass balance in Dronning Maud Land, Antarctica, as derived from automatic weather stations</t>
  </si>
  <si>
    <t>SHALLOW FIRN CORES; ICE-CORE; EAST ANTARCTICA; BERKNER-ISLAND; ENERGY BALANCE; CLIMATE MODEL; ACCUMULATION; PRECIPITATION; VARIABLES; SIGNALS</t>
  </si>
  <si>
    <t>Measurements of changes in surface height carried out with sonic altimeters mounted on automatic weather stations in Dronning Maud Land (DML) and on Berkner Island, Antarctica, are used to derive the surface mass balance. The surface mass balance is positive at all sites, i.e. accumulation outweighs ablation. The spatial and temporal variability in accumulation is high. Accumulation occurs in numerous small events and a few large events per year. The larger events contribute more to the annual accumulation than the small events; similar to50% of all accumulation is contributed by 10-25% of all events. The accumulation generally decreases with increasing distance from the coast and elevation. Annual averaged values range from similar to375 +/- 59 mm We. a(-1) near the coast to similar to33 +/- 25 mm w.e. a(-1) on the Antarctic plateau and arc in good agreement with long-term averaged annual accumulation rates obtained from snow pits and firn cores. The records show seasonal dependency of the amount of accumulation, with a maximum in winter in the coastal and escarpment region of DML and in summer on Berkner Island and on the plateau. The seasonal cycles are significant on Berkner Island, and in the coastal area and part of the escarpment region.</t>
  </si>
  <si>
    <t>Univ Utrecht, Inst Marine &amp; Atmospher Res, NL-3508 TA Utrecht, Netherlands</t>
  </si>
  <si>
    <t>Reijmer, CH (corresponding author), Univ Utrecht, Inst Marine &amp; Atmospher Res, POB 80-0005,Princetonplein 5, NL-3508 TA Utrecht, Netherlands.</t>
  </si>
  <si>
    <t>ch.reijmer@phys.uu.nl</t>
  </si>
  <si>
    <t>Van den Broeke, Michiel R./F-7867-2011; Reijmer, Carleen H/G-8736-2011</t>
  </si>
  <si>
    <t>Van den Broeke, Michiel R./0000-0003-4662-7565; Reijmer, Carleen H/0000-0001-8299-3883</t>
  </si>
  <si>
    <t>10.3189/172756503781830494</t>
  </si>
  <si>
    <t>WOS:000223425100005</t>
  </si>
  <si>
    <t>Padman, L; King, M; Goring, D; Corr, H; Coleman, R</t>
  </si>
  <si>
    <t>Ice-shelf elevation changes due to atmospheric pressure variations</t>
  </si>
  <si>
    <t>TIDE MODEL; SEA; INTERFEROMETRY; ANTARCTICA; FILCHNER</t>
  </si>
  <si>
    <t>The inverse barometer effect (IBE) is the isostatic response of ocean surface helght to changes in atmospheric pressure (P-air) at a rate of about 1 cm hPa(-1). The IBE is a significant contributor to variability of ice-shelf surface elevation (eta(icc)), as we demonstrate with simultaneous global positioning system measurements of eta(ice) and local measurements of P-air from the Amery, Brunt and Ross Ice Shelves, Antarctica. We find that all IBE correction is justified for frequencies (w) covering the weather hand, 0.03 &lt; w &lt; 0.5 cpd (cycles per day). The IBE correction reduces the standard deviation of the weather-band signal of eta(ice) from similar to9 cm to similar to3 cm. With this correction, the largest remaining high-frequency error signal in eta(ice) is the inaccuracy of the present generation of Antarctic tide models, estimated to be of order 10 cm for most of Antarctica.</t>
  </si>
  <si>
    <t>Earth &amp; Space Res, Corvallis, OR 97333 USA; Newcastle Univ, Sch Civil Engn &amp; Geosci, Newcastle Upon Tyne NE1 7RU, Tyne &amp; Wear, England; Natl Inst Water &amp; Atmospher Res Ltd, Christchurch, New Zealand; British Antarctic Survey, NERC, Cambridge CB3 0ET, England; Univ Tasmania, Sch Geog &amp; Environm Studies, Hobart, Tas 7001, Australia; CSIRO, Hobart, Tas 7001, Australia; Univ Tasmania, Antarctic CRC, Hobart, Tas 7001, Australia</t>
  </si>
  <si>
    <t>Newcastle University - UK; National Institute of Water &amp; Atmospheric Research (NIWA) - New Zealand; UK Research &amp; Innovation (UKRI); Natural Environment Research Council (NERC); NERC British Antarctic Survey; University of Tasmania; Commonwealth Scientific &amp; Industrial Research Organisation (CSIRO); University of Tasmania</t>
  </si>
  <si>
    <t>Padman, Laurence/AAH-3808-2021; King, Matt/B-4622-2008; Corr, Hugh/C-5398-2011; Coleman, Richard/H-4425-2012</t>
  </si>
  <si>
    <t>King, Matt/0000-0001-5611-9498; Padman, Laurence/0000-0003-2010-642X; Coleman, Richard/0000-0002-9731-7498</t>
  </si>
  <si>
    <t>10.3189/172756503781830386</t>
  </si>
  <si>
    <t>WOS:000223425100006</t>
  </si>
  <si>
    <t>Morris, EM; Cooper, JD</t>
  </si>
  <si>
    <t>Instruments and methods - Density measurements in ice boreholes using neutron scattering</t>
  </si>
  <si>
    <t>This paper describes the use of a neutron probe to measure detailed stratigraphy in ice and snow The Wallingford neutron probe, developed for measurement of soil moisture, consists of an annular radioactive source of fast neutrons around the centre of a cylindrical detector for slow (thermal) neutrons. In snow and ice, the fast neutrons lose energy by scattering from hydrogen atoms, and the number of slow neutrons arriving at the detector (the Count rate) is related to the density of the medium. Calibration equations for count rate as a function of snow density and borehole diameter have been derived. Snow-density profiles from boreholes obtained using the probe show that, despite the smoothing produced by the neutron-scattering process, annual variations in density call be resolved. The potential contribution of the neutron probe to improvements in mass-balance monitoring is discussed.</t>
  </si>
  <si>
    <t>British Antarctic Survey, NERC, Cambridge CB3 0ET, England; CEH Wallingford, Wallingford OX10 8BB, Oxon, England</t>
  </si>
  <si>
    <t>UK Research &amp; Innovation (UKRI); Natural Environment Research Council (NERC); NERC British Antarctic Survey; UK Centre for Ecology &amp; Hydrology (UKCEH)</t>
  </si>
  <si>
    <t>Univ Cambridge, Scott Polar Res Inst, Lensfield Rd, Cambridge CB2 1ER, England.</t>
  </si>
  <si>
    <t>emmo@nerc-bas.ac.uk</t>
  </si>
  <si>
    <t>Morris, Elizabeth M/A-6081-2012</t>
  </si>
  <si>
    <t>10.3189/172756503781830403</t>
  </si>
  <si>
    <t>WOS:000223425100014</t>
  </si>
  <si>
    <t>Sinclair, BJ; Chown, SL</t>
  </si>
  <si>
    <t>Rapid responses to high temperature and desiccation but not to low temperature in the freeze tolerant sub-Antarctic caterpillar Pringleophaga marioni (Lepidoptera, Tineidae)</t>
  </si>
  <si>
    <t>JOURNAL OF INSECT PHYSIOLOGY</t>
  </si>
  <si>
    <t>rapid cold hardening; cold tolerance; cold shock; heat shock; freeze tolerance</t>
  </si>
  <si>
    <t>HEAT-SHOCK PROTEINS; FLESH FLY; COLD-SHOCK; SARCOPHAGA-CRASSIPALPIS; HSP70 TRANSCRIPTS; COOLING RATE; EXPRESSION; DIPTERA; STRESS; INJURY</t>
  </si>
  <si>
    <t>A broad definition of rapid cold hardening (RCH) is that it is the process whereby insects increase their survival of a sub-zero temperature after a brief (h) pre-exposure to a less severe low temperature. The effects of various pre-treatments on survival of two h at -7.9 degreesC were investigated in the freeze tolerant sub-Antarctic caterpillar Pringleophaga marioni (Lepidoptera: Tineidae), the first time RCH has been investigated in a freeze tolerant arthropod. All caterpillars froze when exposed to -7.9 degreesC, and none of the low temperature pre-treatments (-5 0, 5 and 15 degreesC, as well as -5 degreesC and 0 degreesC with a delay before freezing) nor slow cooling (0.1 degreesC/min) elicited any improvement in survival of -7.9 degreesC as compared to controls. However, high temperature treatments (25, 30 and 35 degreesC), desiccation and acclimation for 5 days at 0 degreesC did result in significant increases in survival of the test temperature, possibly as a result of heat shock protein production. Haemolymph osmolality was elevated only by the 35 degreesC pre-treatment. It is suggested that the unpredictable environment of Marion Island means that P. marioni must always be physiologically prepared to survive cold snaps, and that this year-round cold hardiness therefore supersedes a rapid cold hardening response. (C) 2003 Elsevier Science Ltd. All rights reserved.</t>
  </si>
  <si>
    <t>Univ Stellenbosch, Dept Zool, Spatial Physiol &amp; Conservat Ecol Grp, ZA-7602 Matieland, South Africa</t>
  </si>
  <si>
    <t>Stellenbosch University</t>
  </si>
  <si>
    <t>Univ Stellenbosch, Dept Zool, Spatial Physiol &amp; Conservat Ecol Grp, Private Bag 21, ZA-7602 Matieland, South Africa.</t>
  </si>
  <si>
    <t>slchown@sun.ac.za</t>
  </si>
  <si>
    <t>Chown, Steven/ABD-7646-2021; Chown, Steven L/H-3347-2011; Sinclair, Brent J/C-6133-2012</t>
  </si>
  <si>
    <t>Sinclair, Brent/0000-0002-8191-9910</t>
  </si>
  <si>
    <t>0022-1910</t>
  </si>
  <si>
    <t>1879-1611</t>
  </si>
  <si>
    <t>J INSECT PHYSIOL</t>
  </si>
  <si>
    <t>J. Insect Physiol.</t>
  </si>
  <si>
    <t>10.1016/S0022-1910(02)00225-1</t>
  </si>
  <si>
    <t>Entomology; Physiology; Zoology</t>
  </si>
  <si>
    <t>650DW</t>
  </si>
  <si>
    <t>WOS:000181248200006</t>
  </si>
  <si>
    <t>Sprintall, J</t>
  </si>
  <si>
    <t>Seasonal to interannual upper-ocean variability in the Drake Passage</t>
  </si>
  <si>
    <t>JOURNAL OF MARINE RESEARCH</t>
  </si>
  <si>
    <t>ANTARCTIC CIRCUMPOLAR CURRENT; POLAR FRONT; CYCLONIC RING; SOUTHERN-OCEAN; TRANSPORT; TOPEX/POSEIDON; SEA; FLOW; TEMPERATURE; EVOLUTION</t>
  </si>
  <si>
    <t>Year-round monitoring of the upper-ocean temperature variability in Drake Passage has been undertaken since September 1996 through repeat expendable bathythermograph (XBT) surveys. The closely spaced measurements (6-15 km apart) provide the first multi-year time series for examining seasonal to interannual variability in this Southern Ocean choke point. While the temperature sections reveal the seasonal variability in water mass formation of the upper layer, there was no seasonal signal evident below 200 m. Similarly, there was little seasonal cycle evident in the position of the Subantarctic Front, the Polar Front and the Southern Antarctic Circumpolar Current Front associated with the Antarctic Circumpolar Current (ACC) in Drake Passage. Mesoscale eddy features are readily identifiable in the XBT sections and in some sparse salinity sections, as distinct alternating bands separated by near-vertical isotherms of cold and warm core temperatures. The eddies can also be tracked in concurrent maps of altimetric sea surface height, with time scales of similar to35 days and diameters of 50-100 km, following a north to north-east trajectory with the main path of ACC flow through Drake Passage. Both the XBT and the altimetric data suggest the eddies are mainly confined to the Antarctic Polar Frontal Zone. To determine transport, an empirical relationship is derived between upper ocean XBT temperature and a baroclinic mass transport function from historical CTD casts collected in the Drake Passage. While in the temporal mean the strongest eastward transport is associated with the three major fronts in the ACC, the individual cruises strongly suggest-a banded nature to the flow through the passage. Some, although not all, of the eastward and westward bands of transport can be attributed to the presence of eddies. The high spatial resolution of the XBT measurements is more capable of distinguishing these counterflows than the typical 50 km resolution of historical hydrographic sections across Drake Passage. Commensurate with the position of the fronts, no real seasonal signal in Drake Passage transport is discernible, although there is substantial variability on interannual time scales. The Drake Passage XBT transport time series is strongly correlated to both zonal wind stress and wind stress curt in the southeast Pacific Ocean.</t>
  </si>
  <si>
    <t>Univ Calif San Diego, Scripps Inst Oceanog, La Jolla, CA 92093 USA</t>
  </si>
  <si>
    <t>Univ Calif San Diego, Scripps Inst Oceanog, La Jolla, CA 92093 USA.</t>
  </si>
  <si>
    <t>jsprintall@ucsd.edu</t>
  </si>
  <si>
    <t>SEARS FOUNDATION MARINE RESEARCH</t>
  </si>
  <si>
    <t>NEW HAVEN</t>
  </si>
  <si>
    <t>YALE UNIV, KLINE GEOLOGY LAB, 210 WHITNEY AVENUE, NEW HAVEN, CT 06520-8109 USA</t>
  </si>
  <si>
    <t>0022-2402</t>
  </si>
  <si>
    <t>1543-9542</t>
  </si>
  <si>
    <t>J MAR RES</t>
  </si>
  <si>
    <t>J. Mar. Res.</t>
  </si>
  <si>
    <t>10.1357/002224003321586408</t>
  </si>
  <si>
    <t>674GU</t>
  </si>
  <si>
    <t>WOS:000182629700002</t>
  </si>
  <si>
    <t>Capasso, C; Carginale, V; Scudiero, R; Crescenzi, O; Spadaccini, R; Temussi, PA; Parisi, E</t>
  </si>
  <si>
    <t>Phylogenetic divergence of fish and mammalian metallothionein: Relationships with structural diversification and organismal temperature</t>
  </si>
  <si>
    <t>JOURNAL OF MOLECULAR EVOLUTION</t>
  </si>
  <si>
    <t>Meeting on Evolution, Genomics and Bioinformatics</t>
  </si>
  <si>
    <t>JUN 13-16, 2002</t>
  </si>
  <si>
    <t>SORRENTO, ITALY</t>
  </si>
  <si>
    <t>metallothionein evolution; ancestral sequences; mammals; fish; temperature adaptations; protein structure; hydropathic properties; structural divergence</t>
  </si>
  <si>
    <t>ANTARCTIC FISH; NOTOTHENIA-CORIICEPS; DIFFERENCE; LIKELIHOOD; STABILITY; EVOLUTION; PROTEINS; DYNAMICS</t>
  </si>
  <si>
    <t>Metallothioneins (MTs) are nonenzymatic low molecular weight proteins, that play an important role in the homeostasis and detoxification of heavy metals in a large variety of organisms. These proteins are endowed with striking features, including an unusual amino acid composition characterized by the presence of 20 cysteines out of a total of 60 residues and absence of secondary structure elements. It is generally accepted that MTs underwent few modifications during evolution because of these structural and functional constraints. Such a conclusion is founded on the studies carried out mostly on MTs of mammalian origin. For such a reason, we have decided to compare the MTs of homeothermic and poikilothermic organisms, such as mammals and fish, with the specific aim to put in relation phylogenetic divergence and structural/functional adaptation to temperature. We have included in our analysis also Antarctic Notothenioids, a fish group characterized by genetic isolation and cold-adaptation to a particular harsh environment. We have determined the average hydropathic index of ancestral NIT sequences and used them to infer the temperatures of the environment housing the hypothetical ancestor organisms. Finally, we have derived phylogenetic relationships of MT molecules from the pairwise comparison of their three-dimensional structures.</t>
  </si>
  <si>
    <t>CNR, Inst Prot Biochem, I-80125 Naples, Italy; Univ Naples Federico II, Dept Chem, I-80126 Naples, Italy; Univ Naples Federico II, Dept Evolutionary &amp; Comparat Biol, I-80134 Naples, Italy</t>
  </si>
  <si>
    <t>Consiglio Nazionale delle Ricerche (CNR); Istituto di Biochimica delle Proteine (IBP-CNR); University of Naples Federico II; University of Naples Federico II</t>
  </si>
  <si>
    <t>CNR, Inst Prot Biochem, Via Marconi 10, I-80125 Naples, Italy.</t>
  </si>
  <si>
    <t>parisi@dafne.ibpe.na.cnr.it</t>
  </si>
  <si>
    <t>Temussi, Piero A/N-5830-2017; Scudiero, Rosaria/AAI-2119-2020; Carginale, Vincenzo/N-2531-2014; CAPASSO, CLEMENTE/P-3522-2016</t>
  </si>
  <si>
    <t>Carginale, Vincenzo/0000-0002-1842-494X; CAPASSO, CLEMENTE/0000-0003-3314-2411; Scudiero, Rosaria/0000-0002-8186-9722; SPADACCINI, Roberta/0000-0002-2262-1065</t>
  </si>
  <si>
    <t>233 SPRING ST, NEW YORK, NY 10013 USA</t>
  </si>
  <si>
    <t>0022-2844</t>
  </si>
  <si>
    <t>1432-1432</t>
  </si>
  <si>
    <t>J MOL EVOL</t>
  </si>
  <si>
    <t>J. Mol. Evol.</t>
  </si>
  <si>
    <t>S250</t>
  </si>
  <si>
    <t>S257</t>
  </si>
  <si>
    <t>10.1007/s00239-003-0034-z</t>
  </si>
  <si>
    <t>Biochemistry &amp; Molecular Biology; Evolutionary Biology; Genetics &amp; Heredity</t>
  </si>
  <si>
    <t>740HB</t>
  </si>
  <si>
    <t>WOS:000186396000026</t>
  </si>
  <si>
    <t>Verde, C; Parisi, E; di Prisco, G</t>
  </si>
  <si>
    <t>The evolution of polar fish hemoglobin: A phylogenetic analysis of the ancestral amino acid residues linked to the root effect</t>
  </si>
  <si>
    <t>hemoglobin; Antarctic; Arctic; molecular phylogeny; root effect; ancestral residues</t>
  </si>
  <si>
    <t>FUNCTIONALLY DISTINCT HEMOGLOBINS; ANTARCTIC FISHES; TREMATOMUS-NEWNESI; STEREOCHEMISTRY; TREES</t>
  </si>
  <si>
    <t>Originating from a benthic ancestor, the suborder Notothenioidei (the dominant fish fauna component of the Antarctic sea) underwent a remarkable radiation, which led notothenioids to fill several niches. The ecological importance of notothenioids in Antarctica and their biochemical adaptations have prompted great efforts to study their physiology and phylogeny, with special attention to the evolutionary adaptation of the oxygen-transport system. We herewith report the evolutionary history of alpha- and beta-globins under the assumption of the molecular clock hypothesis as a basis for reconstructing the phylogenetic relationships among species. These studies have been extended to fish species of other latitudes, including the Arctic region. The northern and southern polar oceans have very different characteristics; indeed, in many respects the Antarctic and Arctic ichthyofaunas are more dissimilar than similar. Our results show that the inferred phylogeny of Arctic and Antarctic globins is different. Taking advantage of the wealth of information collected on structure and function of hemoglobins, we have attempted to investigate the evolutionary history of an important physiological feature in fish, the Root effect. The results suggest that the amino acid residues reported to play a key role in the Root effect may be regarded as ancestor characters, but the lack of this effect in extant species can hardly be associated with the presence of synapomorphies.</t>
  </si>
  <si>
    <t>di Prisco, G (corresponding author), CNR, Inst Prot Biochem, Via Marconi 12, I-80125 Naples, Italy.</t>
  </si>
  <si>
    <t>VERDE, Cinzia/0000-0001-6185-282X</t>
  </si>
  <si>
    <t>S258</t>
  </si>
  <si>
    <t>S267</t>
  </si>
  <si>
    <t>10.1007/s00239-003-0035-y</t>
  </si>
  <si>
    <t>WOS:000186396000027</t>
  </si>
  <si>
    <t>Woodward, J; Murray, T; McCaig, A</t>
  </si>
  <si>
    <t>Reply: Formation and reorientation of structure in the surge-type glacier Kongsvegen, Svalbard</t>
  </si>
  <si>
    <t>JOURNAL OF QUATERNARY SCIENCE</t>
  </si>
  <si>
    <t>EVOLUTION</t>
  </si>
  <si>
    <t>British Antarctic Survey, NERC, Cambridge CB3 0ET, England; Univ Leeds, Sch Geog, Leeds LS2 9JT, W Yorkshire, England; Univ Leeds, Sch Earth Sci, Leeds LS2 9JT, W Yorkshire, England</t>
  </si>
  <si>
    <t>UK Research &amp; Innovation (UKRI); Natural Environment Research Council (NERC); NERC British Antarctic Survey; University of Leeds; University of Leeds</t>
  </si>
  <si>
    <t>Woodward, J (corresponding author), British Antarctic Survey, NERC, High Cross,Madingley Rd, Cambridge CB3 0ET, England.</t>
  </si>
  <si>
    <t>McCaig, Andrew M/C-1066-2014; Woodward, John/I-1046-2013</t>
  </si>
  <si>
    <t>Murray, Tavi/0000-0001-6714-6512</t>
  </si>
  <si>
    <t>JOHN WILEY &amp; SONS LTD</t>
  </si>
  <si>
    <t>W SUSSEX</t>
  </si>
  <si>
    <t>BAFFINS LANE CHICHESTER, W SUSSEX PO19 1UD, ENGLAND</t>
  </si>
  <si>
    <t>0267-8179</t>
  </si>
  <si>
    <t>J QUATERNARY SCI</t>
  </si>
  <si>
    <t>J. Quat. Sci.</t>
  </si>
  <si>
    <t>10.1002/jqs.736</t>
  </si>
  <si>
    <t>645EB</t>
  </si>
  <si>
    <t>WOS:000180962300009</t>
  </si>
  <si>
    <t>Kawano, M; Falandysz, J; Wakimoto, T</t>
  </si>
  <si>
    <t>Instrumental neutron activation analysis of extractable organohalogens (EOX) in Antarctic marine organisms</t>
  </si>
  <si>
    <t>JOURNAL OF RADIOANALYTICAL AND NUCLEAR CHEMISTRY</t>
  </si>
  <si>
    <t>Instrumental neutron activation analysis was performed to measure the levels of extractable organohalogens (EOX) in the organisms from the Antarctic marine ecosystem. The results show that EOX (EOCl, EOBr and EOI) were found in all the samples analyzed. The highest concentration was determined in the ascidian sample. The concentration order of EOX was mainly EOCl&gt; EOBr&gt; EOI with the exception of nemertine, ascidian, fish and adelie penguin samples. The concentrations of man-made organochlorines (DDTs and CHLs) were analyzed by GC-MS, and the results were compared with the concentrations of EOX determined in the same samples. The results show that the contribution of known man-made organochlorines in EOCl was less than 3%. This means that a large amount of unknown organochlorine compounds is present in Antarctic marine organisms.</t>
  </si>
  <si>
    <t>Ehime Univ, Dept Environm Conservat, Matsuyama, Ehime 7908566, Japan; Univ Gdansk, Dept Environm Chem &amp; Ecotoxicol, PL-80952 Gdansk, Poland</t>
  </si>
  <si>
    <t>Ehime University; Fahrenheit Universities; University of Gdansk</t>
  </si>
  <si>
    <t>Kawano, M (corresponding author), Ehime Univ, Dept Environm Conservat, Tarumi 3-5-7, Matsuyama, Ehime 7908566, Japan.</t>
  </si>
  <si>
    <t>mkawano@agr.ehime-u.ac.jp</t>
  </si>
  <si>
    <t>Falandysz, Jerzy/AAR-9241-2020</t>
  </si>
  <si>
    <t>Falandysz, Jerzy/0000-0003-2547-2496</t>
  </si>
  <si>
    <t>0236-5731</t>
  </si>
  <si>
    <t>J RADIOANAL NUCL CH</t>
  </si>
  <si>
    <t>J. Radioanal. Nucl. Chem.</t>
  </si>
  <si>
    <t>10.1023/A:1022563611414</t>
  </si>
  <si>
    <t>Chemistry, Analytical; Chemistry, Inorganic &amp; Nuclear; Nuclear Science &amp; Technology</t>
  </si>
  <si>
    <t>Chemistry; Nuclear Science &amp; Technology</t>
  </si>
  <si>
    <t>649ZC</t>
  </si>
  <si>
    <t>WOS:000181237000002</t>
  </si>
  <si>
    <t>Kilian, R; Behrmann, JH</t>
  </si>
  <si>
    <t>Geochemical constraints on the sources of Southern Chile Trench sediments and their recycling in arc magmas of the Southern Andes</t>
  </si>
  <si>
    <t>JOURNAL OF THE GEOLOGICAL SOCIETY</t>
  </si>
  <si>
    <t>Southern Andes; Pleistocene; subduction; geochemistry; volcanic arc</t>
  </si>
  <si>
    <t>SUBDUCTING OCEANIC-CRUST; CONTINENTAL-CRUST; TRIPLE JUNCTION; TRACE-ELEMENTS; VOLCANIC ZONE; MANTLE WEDGE; ICP-MS; TH; BASALTS; TECTONICS</t>
  </si>
  <si>
    <t>Pliocene and Pleistocene deep-sea trench sediments cored near the Chile Triple Junction (Ocean Drilling Program Leg 141) were analysed for major and trace element concentrations, and for Sr, Nd and Pb isotopic ratios. Comparisons with the potential source rocks of these sediments suggest little alteration during sediment transport and diagenesis. The sediment compositions reflect exposed area fractions and different erosion rates of upper-crustal rock units of the Southern Andes, indicating that denudation, transport and deposition formed an almost closed system since 2.5 Ma. Pelagic sediments cored farther from the continent (&gt;1000 km) on the Antarctic Plate also contain a significant terrigenous component, mixed variably with hydrogenous precipitates (high Fe-Mn-Th), biogenic barite (high Ba) and opal, but little biogenic carbonate (low CaO and Sr). Our sediment data allow us to estimate the subducted sediment input to southern Andean magmas. Mantle sources of basalts from the Andean southernmost Southern Volcanic Zone (41-47degreesS) were contaminated by 3-5 vol.% of a terrigenous sediment melt with variable amounts of Ba-rich pelagic sediments, but were not contaminated by slab-derived fluids. Adakites of the Andean Austral Volcanic Zone (49-55degreesS), formed by melting of a relatively hot subducted slab, contain a variable amount of subducted terrigenous sediment (0-20 vol.% sediment melt) and in some cases Ba-rich pelagic sediments.</t>
  </si>
  <si>
    <t>Univ Trier, FB 6, Lehrstuhl Geol, D-54286 Trier, Germany; Univ Freiburg, Inst Geol, D-79104 Freiburg, Germany</t>
  </si>
  <si>
    <t>Universitat Trier; University of Freiburg</t>
  </si>
  <si>
    <t>Kilian, R (corresponding author), Univ Trier, FB 6, Lehrstuhl Geol, D-54286 Trier, Germany.</t>
  </si>
  <si>
    <t>GEOLOGICAL SOC PUBL HOUSE</t>
  </si>
  <si>
    <t>UNIT 7, BRASSMILL ENTERPRISE CENTRE, BRASSMILL LANE, BATH BA1 3JN, AVON, ENGLAND</t>
  </si>
  <si>
    <t>0016-7649</t>
  </si>
  <si>
    <t>J GEOL SOC LONDON</t>
  </si>
  <si>
    <t>J. Geol. Soc.</t>
  </si>
  <si>
    <t>10.1144/0016-764901-143</t>
  </si>
  <si>
    <t>637XT</t>
  </si>
  <si>
    <t>WOS:000180539600009</t>
  </si>
  <si>
    <t>Franklin, CE; Wilson, RS; Davison, W</t>
  </si>
  <si>
    <t>Locomotion at-1.0°C:: burst swimming performance of five species of Antarctic fish</t>
  </si>
  <si>
    <t>JOURNAL OF THERMAL BIOLOGY</t>
  </si>
  <si>
    <t>swimming performance; temperature; fish; antarctica; accelerometer; buoyancy; trade-offs</t>
  </si>
  <si>
    <t>FAST-START PERFORMANCE; MUSCLE POWER OUTPUT; PIKE ESOX-LUCIUS; PAGOTHENIA-BORCHGREVINKI; MYOXOCEPHALUS-SCORPIUS; TEMPERATURE ADAPTATION; CONTRACTILE PROPERTIES; THERMAL-DEPENDENCE; ESCAPE RESPONSES; MARINE FISH</t>
  </si>
  <si>
    <t>We investigated the burst swimming performance of five species of Antarctic fish at -1.0degreesC. The species studied belonged to the suborder, Notothenioidei, and from the families, Nototheniidae and Bathydraconidae. Swimming performance of the fish was assessed over the initial 300 ms of a startle response using surgically attached miniature accelerometers. Escape responses in all fish consisted of a C-type fast start; consisting of an initial pronounced bending of the body into a C-shape, followed by one or more complete tail-beats and an un-powered glide. We found significant differences in the swimming performance of the five species of fish examined, with average maximum swimming velocities (U-max) ranging from 0.91 to 1.39 m s(-1) and maximum accelerations (A(max)) ranging from 10.6 to 15.6 m s(-2). The cryopelagic species, Pagothenia borchgrevinki, produced the fastest escape response, reaching a U-max and A(max) of 1.39 m s(-1) and 15.6 m s(-2), respectively. We also compared the body shapes of each fish species with their measures of maximum burst performance. The dragonfish, Gymnodraco acuticeps, from the family Bathdraconidae, did not conform to the pattern observed for the other four fish species belonging to the family Nototheniidae. However, we found a negative relationship between buoyancy of the fish species and burst swimming performance. (C) 2002 Elsevier Science Ltd. All rights reserved.</t>
  </si>
  <si>
    <t>Univ Queensland, Dept Zool &amp; Entomol, Sch Life Sci, Physiol Ecol Lab, Brisbane, Qld 4072, Australia; New Zealand Antarctic, Scott Base, Ross Isl, New Zealand; Univ Canterbury, Dept Zool, Christchurch 1, New Zealand</t>
  </si>
  <si>
    <t>University of Queensland; University of Canterbury</t>
  </si>
  <si>
    <t>Franklin, CE (corresponding author), Univ Queensland, Dept Zool &amp; Entomol, Sch Life Sci, Physiol Ecol Lab, Brisbane, Qld 4072, Australia.</t>
  </si>
  <si>
    <t>cfranklin@zen.uq.edu.au</t>
  </si>
  <si>
    <t>Wilson, Robbie S/F-1463-2011; Franklin, Craig/G-7343-2012</t>
  </si>
  <si>
    <t>Franklin, Craig/0000-0003-1315-3797</t>
  </si>
  <si>
    <t>0306-4565</t>
  </si>
  <si>
    <t>J THERM BIOL</t>
  </si>
  <si>
    <t>J. Therm. Biol.</t>
  </si>
  <si>
    <t>PII S0306-4565(02)00037-2</t>
  </si>
  <si>
    <t>10.1016/S0306-4565(02)00037-2</t>
  </si>
  <si>
    <t>Biology; Zoology</t>
  </si>
  <si>
    <t>Life Sciences &amp; Biomedicine - Other Topics; Zoology</t>
  </si>
  <si>
    <t>638QW</t>
  </si>
  <si>
    <t>WOS:000180582600008</t>
  </si>
  <si>
    <t>Case, J; Martin, JE; Chaney, DS; Reguero, M</t>
  </si>
  <si>
    <t>Case, Judd; Martin, James E.; Chaney, Dan S.; Reguero, Marcelo</t>
  </si>
  <si>
    <t>LATE CRETACEOUS DINOSAURS FROM THE ANTARCTIC PENINSULA: REMNANT OR IMMIGRANT FAUNA?</t>
  </si>
  <si>
    <t>JOURNAL OF VERTEBRATE PALEONTOLOGY</t>
  </si>
  <si>
    <t>[Case, Judd] St Marys Coll Calif, Moraga, CA USA; [Martin, James E.] South Dakota Sch Mines &amp; Technol, Rapid City, SD USA; [Chaney, Dan S.] Natl Museum Nat Hist, Washington, DC 20560 USA; [Reguero, Marcelo] Museo La Plata, La Plata, Buenos Aires, Argentina</t>
  </si>
  <si>
    <t>Saint Mary's College of California; South Dakota School Mines &amp; Technology; Smithsonian Institution; Smithsonian National Museum of Natural History; National University of La Plata; Museo La Plata</t>
  </si>
  <si>
    <t>Reguero, Marcelo A./JHS-4893-2023</t>
  </si>
  <si>
    <t>530 CHESTNUT STREET, STE 850, PHILADELPHIA, PA 19106 USA</t>
  </si>
  <si>
    <t>0272-4634</t>
  </si>
  <si>
    <t>1937-2809</t>
  </si>
  <si>
    <t>J VERTEBR PALEONTOL</t>
  </si>
  <si>
    <t>J. Vertebr. Paleontol.</t>
  </si>
  <si>
    <t>SI</t>
  </si>
  <si>
    <t>39A</t>
  </si>
  <si>
    <t>Paleontology</t>
  </si>
  <si>
    <t>V33OT</t>
  </si>
  <si>
    <t>WOS:000209028800068</t>
  </si>
  <si>
    <t>Marshall, DJ; O'Connor, BM; Pugh, PJA</t>
  </si>
  <si>
    <t>Algophagus mites (Astigmata: Algophagidae) from the sub-Antarctic Prince Edward Islands:: habitat-related morphology and taxonomic descriptions</t>
  </si>
  <si>
    <t>JOURNAL OF ZOOLOGY</t>
  </si>
  <si>
    <t>functional morphology; marion island; morphometric analysis; prince Edward islands; taxonomy; Algophagus</t>
  </si>
  <si>
    <t>SOUTHERN-OCEAN ISLANDS; MARION ISLAND; ACARI; CONSERVATION; ECOLOGY</t>
  </si>
  <si>
    <t>Five populations of habitat-specific, morphologically distinct Algophagus mites (Astigmata: Algophagidae) were found to occur on the sub-Antarctic Prince Edward islands. Although these mites did not differ among themselves with respect to idiosomal setal characteristics, which were also similar to those of known sub-Antarctic Algophagus taxa, morphometric analyses revealed leg and idiosomal size differences. In addition to morphometric differences, leg setal positions and porose axillary organ structure, indicated that the morphotypes were taxonomically discrete. The taxa were found to include the known A. antarcticus Hughes, 1955, A. laticollaris Fain, 1974 (new status), a sub-species of A. semicollaris Fain, 1974, and two new species, A. brachytarsus sp. nov. and A. macrolithus sp. nov. With the exception of A. semicollaris, the taxa are described or redescribed in this paper. Morphological features of the females in particular, and notably leg proportions, claw dimensions, and apodeme positions, corroborate discrete terrestrial (A. brachytarsus and A. macrolithus) and aquatic forms (A. antarcticus, A. laticollaris, and A. semicollaris), and vary in a manner suggesting a functional relationship to habitat occupation by the various taxa.</t>
  </si>
  <si>
    <t>Univ Durban Westville, Sch Life &amp; Environm Sci, ZA-4000 Durban, South Africa; Univ Michigan, Museum Zool, Ann Arbor, MI 48109 USA; British Antarctic Survey, Cambridge CB3 0ET, England</t>
  </si>
  <si>
    <t>University of Kwazulu Natal; University of Michigan System; University of Michigan; UK Research &amp; Innovation (UKRI); Natural Environment Research Council (NERC); NERC British Antarctic Survey</t>
  </si>
  <si>
    <t>Marshall, DJ (corresponding author), Univ Durban Westville, Sch Life &amp; Environm Sci, P Bag X54001, ZA-4000 Durban, South Africa.</t>
  </si>
  <si>
    <t>Marshall, David/0000-0003-3771-5950</t>
  </si>
  <si>
    <t>40 WEST 20TH ST, NEW YORK, NY 10011-4221 USA</t>
  </si>
  <si>
    <t>0952-8369</t>
  </si>
  <si>
    <t>J ZOOL</t>
  </si>
  <si>
    <t>J. Zool.</t>
  </si>
  <si>
    <t>10.1017/S0952836902003023</t>
  </si>
  <si>
    <t>673XR</t>
  </si>
  <si>
    <t>WOS:000182606700005</t>
  </si>
  <si>
    <t>Palucci, A</t>
  </si>
  <si>
    <t>Mueller, G; Tuchin, VV; Matvienko, GG; Werner, C; Panchenko, VY</t>
  </si>
  <si>
    <t>Synoptic studies of the antarctic ross sea with the ENEA lidar fluorosensor</t>
  </si>
  <si>
    <t>LASER APPLICATIONS IN MEDICINE, BIOLOGY AND ENVIRONMENTAL SCIENCE</t>
  </si>
  <si>
    <t>International Conference on Laser, Applications, and Technologies</t>
  </si>
  <si>
    <t>JUN 22-27, 2002</t>
  </si>
  <si>
    <t>RUSSIAN ACAD, PRESIDIUM BLDG, MOSCOW, RUSSIA</t>
  </si>
  <si>
    <t>RUSSIAN ACAD, PRESIDIUM BLDG</t>
  </si>
  <si>
    <t>remote sensing; lidar; fluorescence</t>
  </si>
  <si>
    <t>SOUTHERN-OCEAN; SYSTEM; RETRIEVAL; RADIANCE; SEAWIFS; WATERS</t>
  </si>
  <si>
    <t>The ENEA Lidar fluorosensor apparatus take part to three marine campaigns in the South-western Ross Sea and along the Southern Ocean transects up-to New Zealand, revealing the bio-optical peculiarity of coastal zones and seasonal changes encountered. The investigated transects belonged to the ship course during the XIII (Nov. '97 - Jan. '98), XV (Jan. - Feb. '00) and XVI (Jan. - Feb. '01) Italian Antarctic expeditions. Various seasonal stages (pre or post-bloom phenomena, nutrients availability) of seawaters and major biological changes (different dominant phytoplankton species, relevant photosynthetic activity) have been already identified as a final result of the three-annual monitoring activity. Surface chlorophyll and CDOM fluorescence data, collected during the XIII and XVI oceanographic campaign, were used to be compared to 8-day L3 SeaWiFS data products and to tune the bio-optical chlorophyll-a algorithm.</t>
  </si>
  <si>
    <t>ENEA, Dip FIS LAS, I-00044 Frascati, Rome, Italy</t>
  </si>
  <si>
    <t>Palucci, A (corresponding author), ENEA, Dip FIS LAS, CR Frascati,CP 65, I-00044 Frascati, Rome, Italy.</t>
  </si>
  <si>
    <t>PALUCCI, ANTONIO/0009-0006-9442-1544</t>
  </si>
  <si>
    <t>0-8194-5022-7</t>
  </si>
  <si>
    <t>10.1117/12.519776</t>
  </si>
  <si>
    <t>Environmental Sciences; Medicine, Research &amp; Experimental; Optics; Physics, Applied; Spectroscopy</t>
  </si>
  <si>
    <t>Environmental Sciences &amp; Ecology; Research &amp; Experimental Medicine; Optics; Physics; Spectroscopy</t>
  </si>
  <si>
    <t>BX71D</t>
  </si>
  <si>
    <t>WOS:000186183400034</t>
  </si>
  <si>
    <t>Fouilland, E; Gosselin, M; Mostajir, B; Levasseur, M; Chanut, JP; Demers, S; de Mora, S</t>
  </si>
  <si>
    <t>Effects of ultraviolet-B radiation and vertical mixing on nitrogen uptake by a natural planktonic community shifting from nitrate to silicic acid deficiency</t>
  </si>
  <si>
    <t>LIMNOLOGY AND OCEANOGRAPHY</t>
  </si>
  <si>
    <t>OZONE DEPLETION; MARINE DIATOMS; ANTARCTIC PHYTOPLANKTON; ENVIRONMENTAL-CONTROL; NUTRITIONAL-STATUS; PHOTOSYNTHESIS; NUTRIENT; CARBON; ASSEMBLAGES; MESOCOSM</t>
  </si>
  <si>
    <t>We investigated the combined effects of mixing regimes and ultraviolet-B radiation (UVBR: 280-320 nm) on the uptake of nitrate, ammonium, and urea by an estuarine phytoplankton community during a 10-d mesocosm experiment in July 1997. The experiment was conducted in eight mesocosms (1,500 liters each) subjected to varying conditions of UVBR and mixing: (1) natural UVBR and fast mixing, (2) enhanced UVBR and fast mixing, (3) natural UVBR and slow mixing, and (4) enhanced UVBR and slow mixing. The study was carried out during a typical midsummer period of low nutrient concentrations. Throughout the experiment, the phytoplankton community was dominated by a mixed community composed mainly of centric diatoms, cyanobacteria, and prymnesiophytes, with larger algal cells (&gt;5 mum) representing &gt;70% of the total chlorophyll a biomass. The phytoplankton nutrient status changed over the experiment. Algal cells were nitrate-deficient until the occurrence of a nitrification event on day 7, and then became silicic acid-deficient. Mesocosms with different mixing rates showed significant differences in ambient nutrient concentrations, nitrogen uptake rates, and phytoplankton species composition. In general, no significant difference was detected between the N transport rates from samples incubated close to the surface and close to the bottom of the mesocosms, and no difference was detected between the UVBR treatments on all the other. studied biological and chemical variables measured during the experiment. It is only under the slow mixing regime that the enhanced UVBR treatments significantly depress both the transport and the chlorophyll a-specific transport rates of dissolved organic nitrogen (urea). The UVBR effects observed only in the slow mixing regime could be a consequence of an inherent difference in the uptake capacity of the different communities under the two mixing regimes. Both nutrient conditions and mixing regime influenced the natural phytoplankton physiology and composition toward a community more sensitive to UVBR enhancement under a slower mixing regime.</t>
  </si>
  <si>
    <t>Univ Quebec, Inst Sci Mer, Rimouski, PQ G5L 3A1, Canada; Minist Peches &amp; Oceans, Inst Maurice Lamontagne, Mont Joli, PQ G5H 3Z4, Canada</t>
  </si>
  <si>
    <t>University of Quebec; Fisheries &amp; Oceans Canada</t>
  </si>
  <si>
    <t>Fouilland, E (corresponding author), Scottish Assoc Marine Sci, Dunstaffnage Marine Lab, Oban PA37 1QA, Argyll, Scotland.</t>
  </si>
  <si>
    <t>Fouilland, Eric/R-1415-2017; Fouilland, Eric/D-4584-2015; Gosselin, Michel/B-4477-2014</t>
  </si>
  <si>
    <t>Fouilland, Eric/0000-0001-9633-8847; Gosselin, Michel/0000-0002-1044-0793</t>
  </si>
  <si>
    <t>AMER SOC LIMNOLOGY OCEANOGRAPHY</t>
  </si>
  <si>
    <t>WACO</t>
  </si>
  <si>
    <t>5400 BOSQUE BLVD, STE 680, WACO, TX 76710-4446 USA</t>
  </si>
  <si>
    <t>0024-3590</t>
  </si>
  <si>
    <t>LIMNOL OCEANOGR</t>
  </si>
  <si>
    <t>Limnol. Oceanogr.</t>
  </si>
  <si>
    <t>10.4319/lo.2003.48.1.0018</t>
  </si>
  <si>
    <t>Limnology; Oceanography</t>
  </si>
  <si>
    <t>Marine &amp; Freshwater Biology; Oceanography</t>
  </si>
  <si>
    <t>664FA</t>
  </si>
  <si>
    <t>WOS:000182050000003</t>
  </si>
  <si>
    <t>Schmidt, K; Atkinson, A; Stübing, D; McClelland, JW; Montoya, JP; Voss, M</t>
  </si>
  <si>
    <t>Trophic relationships among Southern Ocean copepods and krill:: Some uses and limitations of a stable isotope approach</t>
  </si>
  <si>
    <t>FOOD-WEB STRUCTURE; MARGINAL ICE-ZONE; EUPHAUSIA-SUPERBA; ANTARCTIC KRILL; CARBON ISOTOPES; CALLINECTES-SAPIDUS; COMMUNITY STRUCTURE; LARVAL KRILL; NITROGEN; FRACTIONATION</t>
  </si>
  <si>
    <t>The use of stable isotopes to study food webs has increased rapidly, but there are still some uncertainties in their application. We examined the delta(15)N and delta(13)C values of Antarctic euphausiids and copepods from the Polar Front, Lazarev Sea, and Marguerite Bay against their foodweb baseline of particulate organic matter (POM). Interpretations of trophic level were helped by comparison with other approaches and by calibration experiments with Euphausia superba fed known diets: Results for well-known mesozooplankters (e.g., Calanoides acutus and Metridia gerlachei) were internally consistent and corresponded to those derived from independent methods. This gave confidence in the isotope approach for copepods and probably larval euphausiids. Among the dominant yet poorly known species, it suggested mainly herbivory for Rhincalanus gigas but omnivory for Calanus simillimus and furcilia larvae of Thysanoessa spp. and Euphausia frigida. The delta(15)N values of adult copepods were up to 3parts per thousand higher than those of early copepodites, pointing to ontogenetic shifts in diet. In the Lazarev Sea in autumn, the isotopic signals of E. superba larvae suggested pelagic, mainly herbivorous, feeding rather than feeding within the ice. In contrast to the mesozooplankton, some anomalous results for postlarval krill species indicated problems with this method for micronekton. The experiments showed that postlarval E. superba did not equilibriate with a new diet within 30 d. We suggest that the slower turnover of these larger species, partly in combination with their ability to migrate, has confounded trophic effects with those of a temporally/spatially changing food-web baseline. Interpretations of food sources of micronekton could be helped by analyzing their molts or fecal pellets, which responded faster to a new diet.</t>
  </si>
  <si>
    <t>Inst Baltic Sea Res Warnemunde, D-18119 Rostock, Germany; British Antarctic Survey, NERC, Cambridge CB3 0ET, England; Univ Bremen, D-28334 Bremen, Germany; Georgia Inst Technol, Sch Biol, Atlanta, GA 30332 USA</t>
  </si>
  <si>
    <t>Leibniz Institut fur Ostseeforschung Warnemunde; UK Research &amp; Innovation (UKRI); Natural Environment Research Council (NERC); NERC British Antarctic Survey; University of Bremen; University System of Georgia; Georgia Institute of Technology</t>
  </si>
  <si>
    <t>Inst Baltic Sea Res Warnemunde, Seestr 15, D-18119 Rostock, Germany.</t>
  </si>
  <si>
    <t>aat@pcmail.nerc-bas.ac.uk</t>
  </si>
  <si>
    <t>McClelland, James W/IWE-5143-2023; Atkinson, Angus/HOH-3417-2023; Bond, Alexander L/A-3786-2010; Montoya, Joseph/C-3115-2013</t>
  </si>
  <si>
    <t>McClelland, James W/0000-0001-9619-8194; Stubing, Dorothea/0000-0003-1105-754X; Voss, Maren/0000-0002-5827-9062; Montoya, Joseph/0000-0001-7197-4660</t>
  </si>
  <si>
    <t>1939-5590</t>
  </si>
  <si>
    <t>10.4319/lo.2003.48.1.0277</t>
  </si>
  <si>
    <t>WOS:000182050000026</t>
  </si>
  <si>
    <t>Riley, TR; Leat, PT; Storey, BC; Parkinson, IJ; Millar, IL</t>
  </si>
  <si>
    <t>Ultramafic lamprophyres of the Ferrar large igneous province: evidence for a HIMU mantle component</t>
  </si>
  <si>
    <t>LITHOS</t>
  </si>
  <si>
    <t>Ferrar; Karoo; ultramafic lamprophyre; mantle plume; Bouvet</t>
  </si>
  <si>
    <t>PRINCE-ALBERT-MOUNTAINS; TRACE-ELEMENT; VICTORIA-LAND; PENSACOLA MOUNTAINS; FLOOD VOLCANISM; ENRICHED MANTLE; DUPAL SIGNATURE; BREAK-UP; ISOTOPE; ANTARCTICA</t>
  </si>
  <si>
    <t>Ultramafic lamprophyre (UML) dykes from the Ferrar Province (Pensacola Mountains) of Antarctica preserve trace element and isotope signatures similar to Bouvet volcanic rocks, which are considered to reflect the palaeo composition of the Bouvet mantle plume. We report Sr, Nd, Pb, and Os isotope compositions for three ultramafic lamprophyre dykes emplaced at 183.2 +/- 2.2 Ma, coincident with the main Karoo-Ferrar magmatic event. The ultramafic lamprophyre dykes are characterized by high Ti, Cr, Ni, Nb/La, La-N/Yb-N, and Mg# values, and are the most primitive rocks of the Ferrar Province. The dykes have initial (183 Ma) Sr-87/Sr-86 ratios of 0.7044-0.7055, epsilonNd of 4.6-4.8, Pb-208/Pb-204 of 39.6-40.3, and Os-187/Os-118 of 0.120-0.146 and contrast markedly with even the most primitive rocks of the Ferrar and Karoo provinces. The trace element and isotope characteristics have affinities to ocean island basalt (OIB) and the highly radiogenic character of Pb-208/Ph-204 and Pb-206/Ph-204 bear closest resemblance to Bouvet, which has previously been postulated as the plume responsible for the Ferrar Province. The ultramafic lamprophyres are believed to be the result of melting enriched Bouvet mantle plume material and represent one of the mantle end members in the Karoo-Ferrar province. (C) 2002 Elsevier Science B.V All rights reserved.</t>
  </si>
  <si>
    <t>British Antarctic Survey, Natl Environm Res Council, Cambridge CB3 0ET, England; Univ Canterbury, Gateway Antarctica, Christchurch 1, New Zealand; Open Univ, Dept Earth Sci, Milton Keynes MK7 6AA, Bucks, England; NERC, Isotope Geosci Lab, British Antarctic Survey, Keyworth NG12 5GG, Notts, England</t>
  </si>
  <si>
    <t>UK Research &amp; Innovation (UKRI); Natural Environment Research Council (NERC); NERC British Antarctic Survey; University of Canterbury; Open University - UK; UK Research &amp; Innovation (UKRI); Natural Environment Research Council (NERC); NERC British Antarctic Survey; NERC British Geological Survey</t>
  </si>
  <si>
    <t>British Antarctic Survey, Natl Environm Res Council, High Cross,Madingley Rd, Cambridge CB3 0ET, England.</t>
  </si>
  <si>
    <t>t.riley@bas.ac.uk</t>
  </si>
  <si>
    <t>Parkinson, Ian J/C-7398-2009; Millar, Ian L/F-1541-2010</t>
  </si>
  <si>
    <t>Riley, Teal/0000-0002-3333-5021; Parkinson, Ian/0000-0001-6380-7061</t>
  </si>
  <si>
    <t>ELSEVIER</t>
  </si>
  <si>
    <t>RADARWEG 29, 1043 NX AMSTERDAM, NETHERLANDS</t>
  </si>
  <si>
    <t>0024-4937</t>
  </si>
  <si>
    <t>1872-6143</t>
  </si>
  <si>
    <t>Lithos</t>
  </si>
  <si>
    <t>PII S0024-4937(02)00213-X</t>
  </si>
  <si>
    <t>10.1016/S0024-4937(02)00213-X</t>
  </si>
  <si>
    <t>Geochemistry &amp; Geophysics; Mineralogy</t>
  </si>
  <si>
    <t>644DJ</t>
  </si>
  <si>
    <t>WOS:000180902400004</t>
  </si>
  <si>
    <t>Zerbini, AN; Castello, H</t>
  </si>
  <si>
    <t>Rediscovery of the type specimen of the Antarctic minke whale (Balaenoptera bonaerensis, Burmeister, 1867)</t>
  </si>
  <si>
    <t>MAMMALIAN BIOLOGY</t>
  </si>
  <si>
    <t>Balaenoptera bonaerensis; B. acutorostrata; Cetacea; minke whale; taxonomy; Southern Hemisphere</t>
  </si>
  <si>
    <t>Univ Washington, Sch Aquat &amp; Fishery Sci, Washington Cooperat Fish &amp; Wildlife Res Unit, Seattle, WA 98195 USA; Museo Argentino Ciencias Nat Bernardino Rivadavia, RA-1405 Buenos Aires, DF, Argentina</t>
  </si>
  <si>
    <t>University of Washington; University of Washington Seattle; Museo Argentino de Ciencias Naturales Bernardino Rivadavia (MACN)</t>
  </si>
  <si>
    <t>Zerbini, AN (corresponding author), Univ Washington, Sch Aquat &amp; Fishery Sci, Washington Cooperat Fish &amp; Wildlife Res Unit, Box 355020, Seattle, WA 98195 USA.</t>
  </si>
  <si>
    <t>Zerbini, Alexandre/ABH-3916-2020; Zerbini, Alexandre/G-4138-2012</t>
  </si>
  <si>
    <t>Zerbini, Alexandre/0000-0002-9776-6605;</t>
  </si>
  <si>
    <t>1616-5047</t>
  </si>
  <si>
    <t>MAMM BIOL</t>
  </si>
  <si>
    <t>Mamm. Biol.</t>
  </si>
  <si>
    <t>10.1078/1616-5047-00071</t>
  </si>
  <si>
    <t>667PB</t>
  </si>
  <si>
    <t>WOS:000182240200007</t>
  </si>
  <si>
    <t>Ellwood, MJ; Maher, WA</t>
  </si>
  <si>
    <t>Germanium cycling in the waters across a frontal zone: the Chatham Rise, New Zealand</t>
  </si>
  <si>
    <t>MARINE CHEMISTRY</t>
  </si>
  <si>
    <t>Ge; uptake; phytoplankton</t>
  </si>
  <si>
    <t>PLASMA-MASS-SPECTROMETRY; GLACIAL SOUTHERN-OCEAN; MISSING GE SINK; NATURAL-WATERS; ANTARCTIC WATERS; MARINE DIATOMS; SILICIC-ACID; IRON; RATIO; GE/SI</t>
  </si>
  <si>
    <t>Transect and profile data reveal that Si and Ge concentrations are depleted in the surface waters across a frontal zone to the east of New Zealand. These results are consistent with Si and Ge uptake and regeneration from siliceous organisms. The Ge/Si ratio along three transects is not constant with Si utilisation indicating that there is fractionation between Si and Ge during uptake by phytoplankton. A fractionation factor (K-D) of 0.36 is obtained from the transect data for Si concentrations below about 6 muM, assuming a Rayleigh distillation-like process. Although Si utilisation is slight faster than that of Ge, assuming that the Si(OH)(4) and Ge(OH)(4) are the chemical species utilised, such chemical fractionation is unlikely to contribute to the variations seen in the Ge/Si transect data, rather biological fractionation appears to dominate. Profiles for Ge/Si versus depth reveals a subsurface maximum in the Ge/Si data suggesting that Ge is being recycled faster than Si from phytoplankton. Such Ge/Si fractionation during Si and Ge uptake and regeneration is the most likely explanation for the positive Ge intercept seen for the global Ge versus Si relationship. Biological fractionation of Ge is contrary to the results of Bareille et al. [Geology 26 (1998) 82], who observed little variation in Ge/Si-opal values for diatom frustules isolated from sediments along a transect where a strong Si concentration gradient exists. (C) 2002 Elsevier Science B.V. All rights reserved.</t>
  </si>
  <si>
    <t>Natl Inst Water &amp; Atmospher Res, Hamilton, New Zealand; Univ Canberra, Ecochem Lab, Canberra, ACT 2601, Australia</t>
  </si>
  <si>
    <t>National Institute of Water &amp; Atmospheric Research (NIWA) - New Zealand; University of Canberra</t>
  </si>
  <si>
    <t>Ellwood, MJ (corresponding author), Natl Inst Water &amp; Atmospher Res, POB 11 115, Hamilton, New Zealand.</t>
  </si>
  <si>
    <t>Ellwood, Michael J/G-7390-2011</t>
  </si>
  <si>
    <t>Maher, William A./0000-0001-7564-3383; Ellwood, Michael/0000-0003-4288-8530</t>
  </si>
  <si>
    <t>0304-4203</t>
  </si>
  <si>
    <t>MAR CHEM</t>
  </si>
  <si>
    <t>Mar. Chem.</t>
  </si>
  <si>
    <t>PII S0304-4203(02)00115-9</t>
  </si>
  <si>
    <t>10.1016/S0304-4203(02)00115-9</t>
  </si>
  <si>
    <t>Chemistry, Multidisciplinary; Oceanography</t>
  </si>
  <si>
    <t>Chemistry; Oceanography</t>
  </si>
  <si>
    <t>645ZM</t>
  </si>
  <si>
    <t>WOS:000181010400004</t>
  </si>
  <si>
    <t>Fraser, WR; Hofmann, EE</t>
  </si>
  <si>
    <t>A predator's perspective on causal links between climate change, physical forcing and ecosystem response</t>
  </si>
  <si>
    <t>MARINE ECOLOGY PROGRESS SERIES</t>
  </si>
  <si>
    <t>Antarctic Peninsula; Adelie penguin; Antarctic krill; climate warming; sea ice; Antarctic circumpolar wave; foraging ecology; population structure; longevity</t>
  </si>
  <si>
    <t>KRILL POPULATION-DYNAMICS; SEA-ICE EXTENT; ANTARCTIC CIRCUMPOLAR WAVE; EUPHAUSIA-SUPERBA; SOUTH-GEORGIA; ELEPHANT ISLAND; ADELIE PENGUINS; MARINE ECOSYSTEM; FORAGING EFFORT; SCOTIA SEA</t>
  </si>
  <si>
    <t>The mechanisms by which variability in sea ice cover and its effects on the demography of the Antarctic krill Euphausia superba cascade to other ecosystem components such as apex predators remain poorly understood at all spatial and temporal scales, yet these interactions are essential for understanding causal links between climate change, ecosystem response and resource monitoring and management in the Southern Ocean. To address some of these issues, we examined the long-term foraging responses of Adelie penguins Pygoscelis adeliae near Palmer Station, western Antarctic Peninsula, in relation to ice-induced changes in krill recruitment and availability. Our results suggest that (1) there is a direct, causal relationship between variability in ice cover, krill recruitment, prey availability and predator foraging ecology, (2) regional patterns and trends detected in this study are consistent with similar observations in areas as far north as South Georgia, and (3) large-scale forcing associated with the Antarctic Circumpolar Wave may be governing ecological interactions between ice, krill and their predators in the western Antarctic Peninsula and Scotia Sea regions. Another implication of our analyses is that during the last 2 decades in particular, krill populations have been sustained by strong age classes that emerge episodically every 4 to 5 yr. This raises the possibility that cohort senescence has become an additional ecosystem stressor in an environment where ice conditions conducive to good krill recruitment are deteriorating due to climate warming. In exploring these interactions, our results suggest that at least 1 'senescence event' has already occurred in the western Antarctic Peninsula region, and it accounts for significant coherent decreases in krill abundance, predator populations and predator foraging and breeding performance. We propose that krill longevity should be incorporated into models that seek to identify and understand causal links between climate change, physical forcing and ecosystem response in the western Antarctic Peninsula region.</t>
  </si>
  <si>
    <t>Polar Oceans Res Grp, Sheridan, MT 59749 USA; Old Dominion Univ, Dept Oceanog, Ctr Coastal Phys Oceanog, Norfolk, VA 23529 USA</t>
  </si>
  <si>
    <t>Polar Oceans Res Grp, POB 368, Sheridan, MT 59749 USA.</t>
  </si>
  <si>
    <t>bfraser@3rivers.net</t>
  </si>
  <si>
    <t>INTER-RESEARCH</t>
  </si>
  <si>
    <t>OLDENDORF LUHE</t>
  </si>
  <si>
    <t>NORDBUNTE 23, D-21385 OLDENDORF LUHE, GERMANY</t>
  </si>
  <si>
    <t>0171-8630</t>
  </si>
  <si>
    <t>1616-1599</t>
  </si>
  <si>
    <t>MAR ECOL PROG SER</t>
  </si>
  <si>
    <t>Mar. Ecol.-Prog. Ser.</t>
  </si>
  <si>
    <t>10.3354/meps265001</t>
  </si>
  <si>
    <t>Ecology; Marine &amp; Freshwater Biology; Oceanography</t>
  </si>
  <si>
    <t>Environmental Sciences &amp; Ecology; Marine &amp; Freshwater Biology; Oceanography</t>
  </si>
  <si>
    <t>771FL</t>
  </si>
  <si>
    <t>Bronze, Green Submitted</t>
  </si>
  <si>
    <t>WOS:000188774900001</t>
  </si>
  <si>
    <t>Davis, RW; Fuiman, LA; Williams, TM; Horning, M; Hagey, W</t>
  </si>
  <si>
    <t>Classification of Weddell seal dives based on 3-dimensional movements and video-recorded observations</t>
  </si>
  <si>
    <t>Weddell seal; diving; classification; behavior; foraging; hunting</t>
  </si>
  <si>
    <t>NORTHERN ELEPHANT SEALS; FORAGING BEHAVIOR; DIVING BEHAVIOR; LEPTONYCHOTES-WEDDELLII; MARINE MAMMALS; PHOCA-VITULINA; ICE; PROFILES; CRITTERCAM; ANTARCTICA</t>
  </si>
  <si>
    <t>We classified Weddell seal Leptonychotes weddellii dives based on 58 spatial and temporal variables derived from 3-dimensional movements and assigned functions to the dive classifications based on video-recorded behavior. The variables were measured or calculated from data obtained by attaching a video and data recorder to the backs of 10 adult Weddell seals diving from an isolated ice hole in McMurdo Sound, Antarctica. Our analysis revealed 4 types of dives. Type 1 dives were intermediate in duration (15.0 +/- 4.2 min), deep (mean maximum depth = 378 +/- 93 m) and had the steepest descent and ascent angles. Video recordings of the seals capturing prey, primarily small Antarctic silverfish Pleuragramma antarcticum, confirmed these were foraging dives. Types 2, 3 and 4 dives formed a continuum from very short, low speed, non-linear dives that were close to the hole (Type 2) to progressively longer, higher speed, very linear dives that ranged as much as 3 km from the hole (Type 4), but remained relatively shallow (&lt;142 m) compared to Type 1 (foraging) dives. Type 2 dives were hypothesized to be related to hole-guarding behavior or the detection of other seals. Type 3 and 4 dives had characteristics suggestive of exploratory behavior. Comparisons with previously published dive classifications that were based on time-depth records showed that some functions attributed to certain dive types by previous researchers were correct, but others were not. This emphasizes the need for behavioral data for correct interpretation of dive profiles and time-depth statistics.</t>
  </si>
  <si>
    <t>Texas A&amp;M Univ, Dept Marine Biol, Galveston, TX 77553 USA; Univ Texas, Inst Marine Sci, Dept Marine Sci, Port Aransas, TX 78373 USA; Pisces Design, La Jolla, CA 92096 USA; Univ Calif Santa Cruz, Dept Biol, Santa Cruz, CA 95064 USA; Univ Calif Santa Cruz, Inst Marine Sci, Santa Cruz, CA 95064 USA</t>
  </si>
  <si>
    <t>Texas A&amp;M University System; University of Texas System; University of California System; University of California Santa Cruz; University of California System; University of California Santa Cruz</t>
  </si>
  <si>
    <t>Davis, RW (corresponding author), Texas A&amp;M Univ, Dept Marine Biol, 5007 Ave U, Galveston, TX 77553 USA.</t>
  </si>
  <si>
    <t>davisr@tamug.tamu.edu</t>
  </si>
  <si>
    <t>Fuiman, Lee A/L-9514-2017; Horning, Markus/I-3019-2015</t>
  </si>
  <si>
    <t>Horning, Markus/0000-0001-6178-4935</t>
  </si>
  <si>
    <t>10.3354/meps264109</t>
  </si>
  <si>
    <t>768QH</t>
  </si>
  <si>
    <t>WOS:000188586200010</t>
  </si>
  <si>
    <t>Raymond, B; Woehler, EJ</t>
  </si>
  <si>
    <t>Predicting seabirds at sea in the Southern Indian Ocean</t>
  </si>
  <si>
    <t>seabirds at sea; Southern Ocean; spatial model; predictive; environmental determinants</t>
  </si>
  <si>
    <t>MONTE-CARLO; PRYDZ BAY; ENVIRONMENT; ANTARCTICA; MODELS; PATTERN</t>
  </si>
  <si>
    <t>Predictive models were constructed based on at-sea observations of 6 species of seabirds within the Prydz Bay region of East Antarctica. A spatial logistic model was used, and predictions were based on physical environmental data. The hypothesis that these models could predict observations of the same species in the disjunct Vincennes Bay region of East Antarctica was tested. The best results were obtained for the 2 endemic Antarctic breeding species examined (Antarctic and snow petrels). The accuracies of the predictions for Wilson's storm petrels and Cape petrels (which breed both in the Antarctic and on subantarctic islands) were low due to their broad distributions at sea. The predictions for 2 species that breed in subantarctic and temperate localities (white-chinned petrels and prion spp.) were poorest, reflecting the limited seasonal use of Antarctic waters for foraging by these species. The approach is applicable for estimating the probability of observing seabird species in unsurveyed areas of the Southern Ocean, but is likely to be limited to those species breeding regionally, and not for species foraging in the area and breeding elsewhere.</t>
  </si>
  <si>
    <t>Raymond, B (corresponding author), Australian Antarctic Div, Channel Highway, Kingston, Tas 7050, Australia.</t>
  </si>
  <si>
    <t>ben.raymond@aad.gov.au</t>
  </si>
  <si>
    <t>Woehler, Eric/0000-0002-1125-0748</t>
  </si>
  <si>
    <t>10.3354/meps263275</t>
  </si>
  <si>
    <t>761UV</t>
  </si>
  <si>
    <t>WOS:000187934600023</t>
  </si>
  <si>
    <t>Suhr, SB; Pond, DW; Gooday, AJ; Smith, CR</t>
  </si>
  <si>
    <t>Selective feeding by benthic foraminifera on phytodetritus on the western Antarctic Peninsula shelf: evidence from fatty acid biomarker analysis</t>
  </si>
  <si>
    <t>foraminifera; selective feeding; polyunsaturated fatty acids; benthic food web; Antarctic Peninsula shelf</t>
  </si>
  <si>
    <t>ICE MICROBIAL COMMUNITIES; SURFACE OCEAN PRODUCTIVITY; DEEP-SEA; MCMURDO-SOUND; ARACHIDONIC-ACID; PHYTOPLANKTON BIOMASS; EXTRACELLULAR-MATRIX; ISOPODS CRUSTACEA; TROPHIC STRUCTURE; ASTRAMMINA-RARA</t>
  </si>
  <si>
    <t>This study presents the first direct evidence, based on biochemical analysis of fresh material, that certain benthic foraminifera feed selectively on specific components of seasonally deposited phytodetritus in their natural environment. Three abundant species of benthic foraminifera, the calcareous species Globocassidulina subglobosa and Quinqueloculina seminula and the agglutinated species Thurammina albicans, collected after the deposition of phytoplankton bloom material at a shelf site (560 m water depth) west of the Antarctic Peninsula in March 2001, showed significant differences in their fatty acid profiles compared to the surrounding phytodetritus. Furthermore, the 2 calcareous species contained significantly higher amounts of polyunsaturated fatty acids (PUFAs) than were found in their presumptive phytodetrital food source, indicating that the foraminifera discriminate between, and selectively feed on, the different components of the deposited material. Possible implications for the benthic food web are discussed.</t>
  </si>
  <si>
    <t>Southampton Oceanog Ctr, Southampton SO14 3ZH, Hants, England; British Antarctic Survey, Div Biol Sci, Cambridge CB3 0ET, England; Univ Hawaii Manoa, Dept Oceanog, Honolulu, HI 96822 USA</t>
  </si>
  <si>
    <t>NERC National Oceanography Centre; University of Southampton; UK Research &amp; Innovation (UKRI); Natural Environment Research Council (NERC); NERC British Antarctic Survey; University of Hawaii System; University of Hawaii Manoa</t>
  </si>
  <si>
    <t>Southampton Oceanog Ctr, European Way, Southampton SO14 3ZH, Hants, England.</t>
  </si>
  <si>
    <t>stephanie.suhr@usap.gov</t>
  </si>
  <si>
    <t>Gooday, Andrew/ABB-4267-2020; Gooday, Andrew/AAH-8991-2021</t>
  </si>
  <si>
    <t>Gooday, Andrew/0000-0002-5661-7371; Suhr, Steffi/0000-0001-7588-5673</t>
  </si>
  <si>
    <t>10.3354/meps262153</t>
  </si>
  <si>
    <t>751TG</t>
  </si>
  <si>
    <t>Green Accepted, Bronze</t>
  </si>
  <si>
    <t>WOS:000187082600012</t>
  </si>
  <si>
    <t>Parsons, DM; Babcock, RC; Hankin, RKS; Willis, TJ; Aitken, JP; O'Dor, RK; Jackson, GD</t>
  </si>
  <si>
    <t>Snapper Pagrus auratus (Sparidae) home range dynamics:: acoustic tagging studies in a marine reserve</t>
  </si>
  <si>
    <t>Pagrus auratus; snapper behaviour; home range; site fidelity; residency; utilisation distribution; new Zealand; marine reserve</t>
  </si>
  <si>
    <t>COMMUNITY STRUCTURE; SITE FIDELITY; SIZE; PATTERNS; FISH; POPULATIONS; DISPERSAL; MOVEMENTS; GOATFISH; DENSITY</t>
  </si>
  <si>
    <t>The home-range size and location of reef-associated snapper Pagrus auratus: Sparidae were investigated by use of a radio acoustic-positioning telemetry (RAPT) system. Tags were surgically implanted in 5 snapper that were subsequently monitored every minute for a period of 5 mo, and then intermittently over another 7 mo. Site fidelity was high amongst these fish, with home ranges not exceeding 650 m in diameter or 139 600 m(2) in area. Eleven other snapper received tags by feeding and were tracked for periods of up to 2.5 d. Site fidelity was also high for these fish, with standardised estimates of home-range size not differing between the 2 groups. Home ranges overlapped considerably, indicating that the fish were not territorial. The location of the home ranges generally remained stable throughout the entire tracking period, although 1 fish relocated its home range by similar to220 m. A new method of home-range estimation was developed, which matched the level of detail provided by the RAPT system, to directly estimate the time spent in an area. The relevance of this method and the residential behaviour of these fish are discussed, with reference to the general understanding of animal behaviour, previous investigations into snapper movement, and the selective capacity that may be imposed by marine reserves on fish behaviour.</t>
  </si>
  <si>
    <t>Univ Auckland, Leigh Marine Lab, Warkworth, New Zealand; Univ Auckland, Sch Geog &amp; Environm Sci, Auckland 1020, New Zealand; Dalhousie Univ, Dept Biol, Halifax, NS B3H 4R2, Canada; Univ Tasmania, Inst Antarctic &amp; So Ocean Studies, Hobart, Tas 7001, Australia; CSIRO Marine Res, Wembley, WA 6913, Australia; Univ Bologna, I-48100 Ravenna, Italy; Univ Cambridge, Dept Zool, Cambridge CB2 3EJ, England; Census Marine Life, Washington, DC 20036 USA</t>
  </si>
  <si>
    <t>University of Auckland; University of Auckland; Dalhousie University; University of Tasmania; Commonwealth Scientific &amp; Industrial Research Organisation (CSIRO); University of Bologna; University of Cambridge</t>
  </si>
  <si>
    <t>N Carolina State Univ, Dept Marine Earth &amp; Atmospher Sci, Box 8208, Raleigh, NC 27695 USA.</t>
  </si>
  <si>
    <t>darren.parsons@clear.net.nz</t>
  </si>
  <si>
    <t>Willis, Trevor/F-5337-2012; Ross, Donald J/F-7607-2012; Jackson, George D/AAI-7315-2021; Babcock, Russell/A-3794-2012</t>
  </si>
  <si>
    <t>Willis, Trevor/0000-0002-0357-1189; Babcock, Russell/0000-0002-7756-1290; Parsons, Darren/0000-0002-4030-512X</t>
  </si>
  <si>
    <t>10.3354/meps262253</t>
  </si>
  <si>
    <t>Bronze, Green Accepted</t>
  </si>
  <si>
    <t>WOS:000187082600021</t>
  </si>
  <si>
    <t>Barnes, DKA; Fraser, KPP</t>
  </si>
  <si>
    <t>Rafting by five phyla on man-made flotsam in the Southern Ocean</t>
  </si>
  <si>
    <t>marine debris; plastic; invasive species; antarctica</t>
  </si>
  <si>
    <t>ISLAND; ANTARCTICA; CLIMATE; DEBRIS; LIFE</t>
  </si>
  <si>
    <t>In just 4 decades, marine litter has become abundant in northern oceans and seas and is increasing on even remote Southern Ocean island shores. The Southern Ocean was thought to be protected from rafting organisms by its freezing sea surface temperatures. Here we report on an assemblage of animals attached to a piece of plastic that was washed ashore on Adelaide Island, Antarctic Peninsula (68degreesS). The band of plastic was positively buoyant. At least 10 species belonging to 5 phyla were present on the plastic and the size of some indicated that it had been afloat for more than a year. Clearly it is possible for a range of animals to survive and grow in such an environment, and so exotic species could enter or leave the Southern Ocean.</t>
  </si>
  <si>
    <t>British Antarctic Survey, Nat Environm Res Council, Cambridge CB3 0ET, England</t>
  </si>
  <si>
    <t>Barnes, DKA (corresponding author), British Antarctic Survey, Nat Environm Res Council, Madingley Rd, Cambridge CB3 0ET, England.</t>
  </si>
  <si>
    <t>dkab@bas.ac.uk</t>
  </si>
  <si>
    <t>Fraser, Keiron/0000-0001-5491-8376</t>
  </si>
  <si>
    <t>10.3354/meps262289</t>
  </si>
  <si>
    <t>WOS:000187082600025</t>
  </si>
  <si>
    <t>Garibotti, IA; Vernet, M; Ferrario, ME; Smith, RC; Ross, RM; Quetin, LB</t>
  </si>
  <si>
    <t>Phytoplankton spatial distribution patterns along the western Antarctic Peninsula (Southern Ocean)</t>
  </si>
  <si>
    <t>western Antarctic Peninsula; phytoplankton spatial variability; seasonal progression; environmental gradients; palmer LTER</t>
  </si>
  <si>
    <t>SIZE-FRACTIONATED PHYTOPLANKTON; BRANSFIELD STRAIT REGION; EUPHAUSIA-SUPERBA DANA; ATLANTIC SECTOR; AUSTRAL SUMMER; TAXONOMIC COMPOSITION; ELEPHANT-ISLAND; INDIAN SECTOR; WATER MASSES; BIOMASS</t>
  </si>
  <si>
    <t>This paper describes spatial distribution patterns of the phytoplankton community (composition, cell abundance and biomass concentration) in relation to local environmental conditions in the Southern Ocean. Sampling was performed during summer 1997 off the coast of the western Antarctic Peninsula between Anvers Island and Marguerite Bay. Phytoplankton was characterized by relatively low biomass throughout most of the study area and was dominated by nanoalgae (&lt;20 mum). Phytoplankton varied along an on-offshore gradient, with decreasing total cell abundance, chlorophyll a (chl a) concentration and carbon biomass toward the open ocean. Chl a concentration showed surface or subsurface maxima in coastal and middle-shelf waters, and deep maxima between similar to40 and 100 m in oceanic waters. Across-shelf variability in phytoplankton correlated with vertical stability in the water column, which appears to be the major parameter affecting phytoplankton community structure in the area. We hypothesize that the deep chl a maximum offshore may be associated with iron limitation in near-surf ace waters and higher iron concentration in 'winter waters' (subsurface remnant of Antarctic Surface Waters). On a smaller spatial scale, a cluster analysis showed great regional variability in phytoplankton assemblages. The area was divided into 4 main regions based on differences in the phytoplankton composition and concentration. Three peaks in phytoplankton abundance were found on a north-to-south gradient in near-shore waters: a Cryptomonas spp. bloom near Anvers Island, a small unidentified phytoflagellate bloom in Grandidier Channel, and a diatom bloom in Marguerite Bay. These assemblages resemble different stages of the phytoplankton seasonal succession, and may be related to the progressive sea-ice retreat, which might have regulated the timing of the onset of the phytoplankton seasonal succession in a north-south gradient. Biological environmental factors, such as seeding of the water column by epontic algae and selective zooplankton herbivory, are hypothesized to affect community composition in coastal regions. We conclude that large-scale variability in phytoplankton community structure is related to water column physical conditions and possibly iron availability, while mesoscale variability, as seen in coastal waters, is more likely due to seasonal succession of different algae groups.</t>
  </si>
  <si>
    <t>Consejo Nacl Invest Cient &amp; Tecn, Inst Argentino Nivol Glaciol &amp; Ciencias Ambiental, CRICyT, RA-5500 Mendoza, Argentina; Univ Calif San Diego, Scripps Inst Oceanog, La Jolla, CA 92093 USA; Natl Univ La Plata, Fac Ciencias Nat &amp; Museo, RA-1900 La Plata, Argentina; Univ Calif Santa Barbara, Inst Marine Sci, Santa Barbara, CA 93106 USA; Univ Calif Santa Barbara, Inst Computat Earth Syst Sci, Santa Barbara, CA 93106 USA</t>
  </si>
  <si>
    <t>Consejo Nacional de Investigaciones Cientificas y Tecnicas (CONICET); University of California System; University of California San Diego; Scripps Institution of Oceanography; National University of La Plata; Museo La Plata; University of California System; University of California Santa Barbara; University of California System; University of California Santa Barbara</t>
  </si>
  <si>
    <t>Consejo Nacl Invest Cient &amp; Tecn, Inst Argentino Nivol Glaciol &amp; Ciencias Ambiental, CRICyT, CC 330, RA-5500 Mendoza, Argentina.</t>
  </si>
  <si>
    <t>ireneg@lab.cricyt.edu.ar</t>
  </si>
  <si>
    <t>10.3354/meps261021</t>
  </si>
  <si>
    <t>745TN</t>
  </si>
  <si>
    <t>Green Published, Bronze</t>
  </si>
  <si>
    <t>WOS:000186704400002</t>
  </si>
  <si>
    <t>Tarling, GA</t>
  </si>
  <si>
    <t>Sex-dependent diel vertical migration in northern krill Meganyctiphanes norvegica and its consequences for population dynamics</t>
  </si>
  <si>
    <t>euphausiid; behaviour; sex ratio; mortality; predation; zooplankton; acoustic doppler current profiler DVM</t>
  </si>
  <si>
    <t>DAYTIME SURFACE SWARMS; ANTARCTIC KRILL; EUPHAUSIA-SUPERBA; OVARIAN DEVELOPMENT; MOLT CYCLE; CLYDE SEA; TRADE-OFF; ZOOPLANKTON; CRUSTACEA; BEHAVIOR</t>
  </si>
  <si>
    <t>The diel vertical migration (DVM) and population dynamics of northern krill were investigated in the Clyde Sea over several years using depth-discrete net-sampling and a moored 300 kHz acoustic Doppler current profiler. Krill performed DVM throughout each year of sampling. The respective arrival and departure of the krill scattering layer to and from the upper layers occurred consistently 30 min after sunset and 30 min before sunrise. DVM of males and females was different, with females migrating closer to the surface at night than males of equivalent size. The sex ratio was initially 1:1 when juveniles matured into adults after their first winter, but the ratio became increasingly biased towards males as the season progressed such that, by October, the ratio was close to 3:1. A deterministic individual-based model, in which predation risk was a function of the light available to visual predators, showed that the bias could be accounted for by the difference in risk taken by males and females as a result of their DVMs. The same model also showed that, during summer, the difference in these DVMs resulted in females making a net energy gain that was 40% higher than that of males. The predicted net energy gain for females met the immediate energetic demand for egg production as well as providing a surplus that could offset any future decline in food availability. The model did not predict the observation that the decline in male numbers was greater than that of females over the winter. This may be a result of females being more able to cope with starvation through reabsorption of their lipid-rich ovaries. The greater demand for energy to fuel reproduction appeared to be driving females to undertake a riskier DVM than males. This drive is likely to be common to most euphausiid species.</t>
  </si>
  <si>
    <t>gant@bas.ac.uk</t>
  </si>
  <si>
    <t>10.3354/meps260173</t>
  </si>
  <si>
    <t>740UT</t>
  </si>
  <si>
    <t>WOS:000186420500015</t>
  </si>
  <si>
    <t>Thatje, S; Schnack-Schiel, S; Arntz, WE</t>
  </si>
  <si>
    <t>Developmental trade-offs in Subantarctic meroplankton communities and the enigma of low decapod diversity in high southern latitudes</t>
  </si>
  <si>
    <t>decapoda; reproductive strategies; Southern Ocean; abbreviated larval development; Magellan region; Antarctic</t>
  </si>
  <si>
    <t>EARLY JUVENILE DEVELOPMENT; LECITHOTROPHIC LARVAL DEVELOPMENT; LITHODES-SANTOLLA MOLINA; NAUTICARIS-MAGELLANICA EDWARDS,A.MILNE; PARALOMIS-GRANULOSA JACQUINOT; CHEMICAL-COMPOSITION; CRUSTACEA DECAPODA; ATLANTIC-OCEAN; BEAGLE CHANNEL; WEDDELL SEA</t>
  </si>
  <si>
    <t>Developmental modes, occurrence and distribution patterns of invertebrate larvae were studied in the Subantarctic Magellan region of South America on the basis of quantitative plankton hauls obtained during the 'Victor Hensen' campaign in November 1994. The meroplankton community was found to be numerically dominated by decapod crustacean larvae (47%), followed by polychaetes (20%), echinoderms (16%), cirripedes (8%) and molluscs (7%). A rich decapod community was detected, with 2 thalassinid, 5 brachyuran, 4 anomuran, 6 caridean, 1 astacid and 1 palinurid species/morphotypes identified. Cluster analyses clearly distinguished deep-water stations (250 to 400 m) south of the Straits of Magellan from shallow-water stations (30 to 100 m) in the Beagle Channel, where meroplankton was dominated by decapod larvae (&gt;90%). Three main larval developmental modes, characterised by morphogenesis, mode of larval nutrition and site of larval development, were observed in Magellan decapods: (1) Extended, planktotrophic development of planktonic larvae; (2) abbreviated, planktotrophic development of planktonic larvae; and (3) abbreviated, endotrophic (lecithotrophic) development of demersally living larvae. Several caridean shrimps with abbreviated larval development, which have congeners in the Antarctic, suggest a strong synchronisation between abbreviated planktotrophic larval development and short periods of primary production. This seems to be an essential factor in early life history adaptation for the colonisation of the Antarctic environment. The impoverished Antarctic decapod fauna, with only a few representatives of caridean shrimp species left, may be related to the lack in flexibility of reptant decapods in distributing energy resources between adults and their offspring, which would allow abbreviated planktotrophic larval development.</t>
  </si>
  <si>
    <t>Thatje, S (corresponding author), Alfred Wegener Inst Polar &amp; Marine Res, POB 120 161, D-27515 Bremerhaven, Germany.</t>
  </si>
  <si>
    <t>sthatje@awi-bremerhaven.de</t>
  </si>
  <si>
    <t>10.3354/meps260195</t>
  </si>
  <si>
    <t>Bronze, Green Accepted, Green Submitted</t>
  </si>
  <si>
    <t>WOS:000186420500017</t>
  </si>
  <si>
    <t>Garrison, DL; Jeffries, MO; Gibson, A; Coale, SL; Neenan, D; Fritsen, C; Okolodkov, YB; Gowing, MM</t>
  </si>
  <si>
    <t>Development of sea ice microbial communities during autumn ice formation in the Ross Sea</t>
  </si>
  <si>
    <t>Antarctic; sea ice microbial communities; chlorophyll a; POC; PON</t>
  </si>
  <si>
    <t>ANTARCTIC PACK-ICE; WEDDELL SEA; HIGH-RESOLUTION; FRAZIL ICE; WINTER; ALGAE; BIOTA; ECOLOGY; BRINE; PERCOLATION</t>
  </si>
  <si>
    <t>Sea ice communities were sampled across the Ross Sea in the austral autumn. The biota in first-year pack ice was assessed by measuring chlorophyll a (chl a), phaeopigments, total particulate carbon and nitrogen (POC and PON, respectively) and collecting samples for identification by microscopy. Physical and chemical parameters were also measured to characterize the environment. Chl a concentrations in ice ranged from 0 to 96.9 mug l(-1) in discrete samples and from 0.02 to 20.9 mg m(-2) for values integrated throughout floes. Maximum values were similar to those observed in first-year pack ice at other Antarctic locations. Chl a concentrations varied with ice structure and with latitude. POC:chl a and C:N ratios (molar) were high, possibly indicating detritus accumulations. The higher chl a levels north of approximately 72degreesS were apparently a result of ice forming in the south early in the season with subsequent advection to the north. These dynamics would result in older ice in the mid- or northern pack ice zone that was maintained in a favorable light and temperature regime during the seasonal progression of formation and drift. Chlorophyll levels were low in surf ace-layer communities. High chlorophyll concentrations were associated with internal communities. Bottom-layer algal populations, while present, did not reach the levels of high biomass reported for autumn blooms in some land-fast ice regions. Apparent nutrient and CO2 depletion were correlated with biomass parameters but accounted qualitatively for only a fraction of the biomass accumulation measured. Overall, autumn ice-associated production in the Ross Sea may be lower than expected because of the ice drift dynamics, apparently low production in the near-surface layers of first year ice flows, and the absence of rich bottom-layer assemblages.</t>
  </si>
  <si>
    <t>Natl Sci Fdn, Div Ocean Sci, Biol Oceanog Programme, Arlington, VA 22230 USA; Univ Alaska Fairbanks, Inst Geophys, Fairbanks, AK 99775 USA; Univ Calif Santa Cruz, Inst Marine Sci, Santa Cruz, CA 95064 USA; Univ Nevada, Desert Res Inst, Reno, NV 89506 USA; Univ Autonoma Metropolitana Iztapalapa, Lab Fitoplancton Marino &amp; Salobre, Dept Hidrobiol Div CBS, Mexico City 09340, DF, Mexico</t>
  </si>
  <si>
    <t>National Science Foundation (NSF); NSF - Directorate for Geosciences (GEO); NSF - Division of Ocean Sciences (OCE); University of Alaska System; University of Alaska Fairbanks; University of California System; University of California Santa Cruz; Nevada System of Higher Education (NSHE); Desert Research Institute NSHE; University of Nevada Reno; Universidad Autonoma Metropolitana - Mexico</t>
  </si>
  <si>
    <t>Garrison, DL (corresponding author), Natl Sci Fdn, Div Ocean Sci, Biol Oceanog Programme, 4201 Wilson Blvd,Room 725, Arlington, VA 22230 USA.</t>
  </si>
  <si>
    <t>dgarriso@nsf.gov</t>
  </si>
  <si>
    <t>10.3354/meps259001</t>
  </si>
  <si>
    <t>733YV</t>
  </si>
  <si>
    <t>WOS:000186029000001</t>
  </si>
  <si>
    <t>Barnes, DKA; Kuklinski, P</t>
  </si>
  <si>
    <t>High polar spatial competition: extreme hierarchies at extreme latitude</t>
  </si>
  <si>
    <t>community structure; transitivity; species monopolies; polar biodiversity</t>
  </si>
  <si>
    <t>MARINE BENTHIC COMMUNITIES; INTERSPECIFIC COMPETITION; DIVERSITY GRADIENTS; SESSILE ORGANISMS; CLIMATE-CHANGE; ICE-SCOUR; SEA; INVERTEBRATES; DISTURBANCE; PATTERNS</t>
  </si>
  <si>
    <t>On polar shores, as at lower latitude, intense battles for space ensue on boulders but the high wind, wave and ice disturbance make the colonisation race a short one in time. Here we test multiple hypotheses on the nature of competition at a high polar latitude (77degrees N, Arctic Spitsbergen): that interference competitive encounters would principally be (1) between colonial animals and (2) intraspecific in nature involving very few species; (3) intraspecific interactions would mostly result in ties and (4) interspecific interactions would conversely result in overgrowth, involve mainly 1 poor competitor species interacting with many others; and that (5) competition structure would be highly hierarchical. This is the highest latitude of any competition study and its structure was as extreme as hypothesised in many respects. Interference competition on boulders was dominated by encounters between colonial animals (almost entirely between cheilostome bryozoans). Nearly 80 % of all competitor interactions were intraspecific. Most intraspecific encounters involved just a single (bryozoan) species, Harmeria scutulata. In no other equivalent assemblage is there such an extreme balance of intra- to interspecific competition. Nearly 97 % of intraspecific fights for space ended in tied outcomes (standoffs). We can also find no described assemblage in which tied outcomes are so frequent in intraspecific encounters or so rare in interspecific meetings. Of the competitors present in more than 10 interactions H. scutulata was the poorest, winning just 24 % of encounters with other species. No other study, known to us, has shown an assemblage to be so dominated by a single species, which is such a poor spatial competitor. Compared to other similar assemblages the diversity (Shannon-Wiener H') and evenness (Pielou's J) of competitive encounters was lowest. This Spitsbergen assemblage is also the most severe hierarchy measured in a marine encrusting community. These findings have major implications for the response of the community to disturbance and climate change.</t>
  </si>
  <si>
    <t>British Antarctic Survey, Cambridge CB3 0ET, England; Univ Courses Svalbard, N-9171 Longyearbyen, Norway; Polish Acad Sci, Inst Oceanol, Marine Ecol Dept, PL-81712 Sopot, Poland</t>
  </si>
  <si>
    <t>UK Research &amp; Innovation (UKRI); Natural Environment Research Council (NERC); NERC British Antarctic Survey; Polish Academy of Sciences; Institute of Oceanology of the Polish Academy of Sciences</t>
  </si>
  <si>
    <t>Barnes, DKA (corresponding author), British Antarctic Survey, High Cross,Madingley Rd, Cambridge CB3 0ET, England.</t>
  </si>
  <si>
    <t>10.3354/meps259017</t>
  </si>
  <si>
    <t>WOS:000186029000002</t>
  </si>
  <si>
    <t>Quetin, LB; Ross, RM</t>
  </si>
  <si>
    <t>Episodic recruitment in Antarctic krill Euphausia superba in the Palmer LTER study region</t>
  </si>
  <si>
    <t>episodic recruitment; Antarctic krill; polar zooplankton</t>
  </si>
  <si>
    <t>SEA-ICE EXTENT; SOUTHERN-OCEAN CLIMATE; POPULATION-DYNAMICS; ELEPHANT-ISLAND; MARINE ECOSYSTEM; CIRCUMPOLAR WAVE; BREEDING-SEASON; ENERGETIC COST; WEDDELL SEA; SCOTIA SEA</t>
  </si>
  <si>
    <t>As part of the Palmer Long-Term Ecological Research (LTER) program, the size structure of the population of Antarctic krill found between Anvers and Adelaide Islands west of the Antarctic Peninsula has been analyzed for patterns in recruitment success. The data were from a series of 11 cruises, 1 in spring (November 199 1) and 10 in summer (January 1993 to January 2002). A maximum-likelihood fitting procedure was used to fit a mixture of normal distributions to the length-density distributions derived from net data. The recruitment index was calculated as the proportion of age-class 1 krill of the total. Antarctic krill in the Palmer LTER region showed a pattern of episodic recruitment, with 2 strong year classes in succession followed by 3 or 4 moderate or poor year classes. The 2 strong year classes represented 85 to 90% of the krill caught for 5 or 6 yr, and as the absolute abundance of the year class declined due to mortality, so did the abundance of Antarctic krill in the region. The recruitment index was positively correlated with the absolute value of a seasonal El Nino/Southern Oscillation (ENSO) index, with strongest recruitment during the neutral or moderate periods of ENSO. The mechanism underlying the strong link between the recruitment index and ENSO is most likely the effects of seasonal sea-ice dynamics on both reproduction and winter-over survival of the resulting larvae as previously documented.</t>
  </si>
  <si>
    <t>Univ Calif Santa Barbara, Inst Marine Sci, Santa Barbara, CA 93106 USA</t>
  </si>
  <si>
    <t>Univ Calif Santa Barbara, Inst Marine Sci, Santa Barbara, CA 93106 USA.</t>
  </si>
  <si>
    <t>langdon@icess.ucsb.edu</t>
  </si>
  <si>
    <t>10.3354/meps259185</t>
  </si>
  <si>
    <t>WOS:000186029000016</t>
  </si>
  <si>
    <t>Ahn, IY; Surh, J; Park, YG; Kwon, H; Choi, KS; Kang, SH; Choi, HJ; Kim, KW; Chung, H</t>
  </si>
  <si>
    <t>Growth and seasonal energetics of the Antarctic bivalve Laternula elliptica from King George Island, Antarctica</t>
  </si>
  <si>
    <t>Antarctic bivalve; Laternula elliptica; growth; energy reserve; biochemical composition; protein; reproduction</t>
  </si>
  <si>
    <t>BIOCHEMICAL-COMPOSITION; ORGANIC CONSTITUTION; CHEMICAL-COMPOSITION; SUMMER METABOLISM; LIPID-COMPOSITION; MYTILUS-EDULIS; SIGNY ISLAND; MAXWELL BAY; SEA; BRODERIP</t>
  </si>
  <si>
    <t>The Antarctic marine environment is characterized by extreme seasonality in primary production, and herbivores must cope with a prolonged winter period of food shortage. In this study, tissue mass and biochemical composition were determined for various tissues of the bivalve Laternula elliptica (King &amp; Broderip) over a 2 yr period, and its storage and use of energy reserves were investigated with respect to seasonal changes in food level and water temperature. Total ash-free dry mass (AFDM) accumulated rapidly following phytoplankton blooms (with peak values immediately before and after spawning) and was depleted considerably during the spawning and winter periods. Most of the variation was in the muscle, gonads and digestive gland. Spawning peaked in January and February and caused considerable protein and lipid losses in the muscle, gonads and digestive gland. In winter (March to August), the muscle and digestive gland lost considerable mass, while gonad mass increased; this suggests that the muscle tissue and digestive gland serve as major energy depots for both maintenance metabolism and gonad development in winter. There were also marked year-to-year differences in the seasonal patterns of mass variation and reproduction. Overall, the relative and absolute tissue-mass values were positively correlated with chlorophyll concentration, and were not related to water temperature; thus, for the first time, this study clearly shows that food is an important factor governing growth and gonad maturation in this bivalve. It is also noteworthy that protein, constituting similar to75% of AFDM, served as the major energy reserve throughout the study, closely following the AFDM variation. In particular, during the winter months, protein comprised &gt;60% of AFDM loss, while lipids and glycogen served as minor (&lt;20% each) reserves. Protein loss was most substantial in the muscle tissue, which comprised half of the body tissue. Thus, protein use, with muscle tissues as a depot for protein reserves, may be a result of selective pressure on Antarctic marine herbivores undergoing a prolonged period of food shortage in winter.</t>
  </si>
  <si>
    <t>KORDI, Polar Sci Lab, Seoul 425600, South Korea; Seoul Natl Univ, Dept Food &amp; Nutr, Seoul 151742, South Korea; Jeju Natl Univ, Dept Aquaculture, Cheju 690756, South Korea</t>
  </si>
  <si>
    <t>Korea Institute of Ocean Science &amp; Technology (KIOST); Seoul National University (SNU); Jeju National University</t>
  </si>
  <si>
    <t>KORDI, Polar Sci Lab, POB 29, Seoul 425600, South Korea.</t>
  </si>
  <si>
    <t>iahn@kordi.re.kr</t>
  </si>
  <si>
    <t>Choi, Kwang-Sik Albert/B-5367-2011</t>
  </si>
  <si>
    <t>10.3354/meps257099</t>
  </si>
  <si>
    <t>717BJ</t>
  </si>
  <si>
    <t>WOS:000185065500010</t>
  </si>
  <si>
    <t>Meyer, B; Atkinson, A; Blume, B; Bathmann, UV</t>
  </si>
  <si>
    <t>Feeding and energy budgets of larval Antarctic krill Euphausia superba in summer</t>
  </si>
  <si>
    <t>antarctic krill; Euphausia superba; larval krill; energy budget</t>
  </si>
  <si>
    <t>SOUTH GEORGIA; DANA; GROWTH; WINTER; EXCRETION; OMNIVORY; ONSET; SEA</t>
  </si>
  <si>
    <t>The physiological condition and feeding activity of the dominant larval stages of Euphausia superba (calyptopis stage III, furcilia stages I and II) were investigated from February to March 2000 at the Rothera Time Series monitoring station (67degrees34'S, 68degrees07'W, Adelaide Island, Western Antarctic Peninsula). A dense phytoplankton bloom (5 to 25 mug chl a l(-1)) occupied the mixed layer throughout the study period. The feeding of larvae was measured by incubating the animals in natural seawater. Food concentrations ranged from 102 to 518 mug C l(-1) across experiments, and the mean daily C rations were 28% body C for calyptosis stage Ill (CIII), 25% for furcilia stage I (FI) and 15% for FII. The phytoplankton, dominated by diatoms and motile prey taxa, ranged from 8 to 79 pm in size. Across this size spectrum of diatoms, CIII cleared small cells most efficiently, as did FI to a lesser degree. FII, however, showed no clear tendency for a specific cell size. Across the measured size spectrum of the motile taxa, all larvae stages showed a clear preference towards the larger cells. Estimated C assimilation efficiencies were high, from 70 to 92% (mean 84%). Respiration rates of freshly caught larvae were 0.7 to 1.1 mul O-2 mg DM-1 h(-1). The calculated respiratory C loss showed a significant increase with increasing food concentration in all larval stages, ranging from 0.9 to 2.4% body C d(-1). These respiratory losses, combined with the high assimilation efficiencies, thus give the larvae ample capacity for growth at these food concentrations. Critical concentrations of food to achieve maximum daily rations were in the range of 100 to 200 mug C l(-1) (similar to2 to 4 mug chl a l(-1)). Thus productive shelf sites along the Antarctic Peninsula, such as Rothera, may act as good 'nursery' areas for krill larvae.</t>
  </si>
  <si>
    <t>Alfred Wegener Inst Polar &amp; Marine Res, Dept Pelag Ecosyst, D-27570 Bremerhaven, Germany; British Antarctic Survey, NERC, Cambridge CB3 0ET, England</t>
  </si>
  <si>
    <t>Helmholtz Association; Alfred Wegener Institute, Helmholtz Centre for Polar &amp; Marine Research; UK Research &amp; Innovation (UKRI); Natural Environment Research Council (NERC); NERC British Antarctic Survey</t>
  </si>
  <si>
    <t>Meyer, B (corresponding author), Alfred Wegener Inst Polar &amp; Marine Res, Dept Pelag Ecosyst, Handelshafen 12, D-27570 Bremerhaven, Germany.</t>
  </si>
  <si>
    <t>bmeyer@awi-bremerhaven.de</t>
  </si>
  <si>
    <t>Atkinson, Angus/HOH-3417-2023; Meyer, Bettina/ABB-5311-2020</t>
  </si>
  <si>
    <t>Meyer, Bettina/0000-0001-6804-9896</t>
  </si>
  <si>
    <t>10.3354/meps257167</t>
  </si>
  <si>
    <t>WOS:000185065500015</t>
  </si>
  <si>
    <t>Apprill, AM; Lesser, MP</t>
  </si>
  <si>
    <t>Effects of ultraviolet radiation on Laminaria saccharina in relation to depth and tidal height in the Gulf of Maine</t>
  </si>
  <si>
    <t>macroalgae; chlorophyll fluorescence; Laminaria saccharina; UV-B radiation; photoinhibition; mycosporine-like amino acids; Gulf of Maine</t>
  </si>
  <si>
    <t>HIGH LIGHT STRESS; CHLOROPHYLL FLUORESCENCE MEASUREMENTS; PHOTOSYNTHETIC PERFORMANCE; ARCTIC MACROALGAE; OXIDATIVE STRESS; OZONE DEPLETION; UV-RADIATION; ECOPHYSIOLOGICAL PATTERNS; ANTARCTIC PHYTOPLANKTON; STRATOSPHERIC OZONE</t>
  </si>
  <si>
    <t>The effects of solar radiation, both visible and ultraviolet (UV-R, 290 to 400 nm), on the kelp Laminaria saccharina (L.) Lamour were examined in relation to depth distribution and tidal height in the Gulf of Maine. Despite the high attenuation of visible and UV-R, shallow subtidal L. saccharina exhibited significant decreases in midday measurements of steady-state quantum yields of Photosystem 11 (PSII) fluorescence compared to deeper conspecifics. Decreases in PSII quantum yields under low-tide conditions at midday were more pronounced and associated with higher coefficients of non-photochemical quenching than yields of the same algae measured at midday under high-tide conditions. Steady-state quantum yields in shallow algal populations had not recovered by early morning of the following day. Laboratory experiments were conducted to partition out the effects of high visible radiation versus UV-R effects on steady-state quantum yields observed in the field. Algae exposed to solar visible PAR (photosynthetically active radiation; 400 to 700 nm), PAR + UV-A (ultraviolet-A radiation; 320 to 400 nm), and PAR+UV-A+UV-B (ultraviolet-B radiation; 290 to 320 nm) treatments exhibited daily midday depressions in steady-state quantum yields, similar to those observed in field samples at low tide. The PAR + UV-A + UV-B treatment showed a significantly greater depression in PSIl quantum yields than field samples at low tide, and took longer to recover at night. Algae exposed to the UV-R component of the spectrum also showed a significant decrease in gross primary production and contained less areal chlorophyll a than field samples, while nonphotochemical quenching (a measurement of the dissipation of excess excitation energy) was significantly higher during midday exposures to UV-B. Significantly greater concentrations of the UV-Babsorbing compound mycosporine-glycine, a mycosporine-like amino acid (MAA), were present in the shallow field and experimental PAR+UV-A+UV-B-treated algae. Our results suggest that exposure to midday visible irradiances resulted in dynamic photoinhibition, while exposure to visible and UV-R irradiance in the Gulf of Maine results in both dynamic and chronic photoinhibition that causes a decrease in gross primary production of L. saccharina in shallow waters or under low-tide conditions.</t>
  </si>
  <si>
    <t>Univ New Hampshire, Dept Zool, Durham, NH 03824 USA; Univ New Hampshire, Ctr Marine Biol, Durham, NH 03824 USA; Univ San Diego, Dept Marine &amp; Environm Sci, San Diego, CA 92110 USA; Cornell Univ, Shoals Marine Lab, Ithaca, NY 14853 USA</t>
  </si>
  <si>
    <t>University System Of New Hampshire; University of New Hampshire; University System Of New Hampshire; University of New Hampshire; University of San Diego; Cornell University</t>
  </si>
  <si>
    <t>Lesser, MP (corresponding author), Univ New Hampshire, Dept Zool, Durham, NH 03824 USA.</t>
  </si>
  <si>
    <t>mpl@cisunix.unh.edu</t>
  </si>
  <si>
    <t>10.3354/meps256075</t>
  </si>
  <si>
    <t>712QT</t>
  </si>
  <si>
    <t>WOS:000184808900007</t>
  </si>
  <si>
    <t>Phillips, KL; Jackson, GD; Nichols, PD</t>
  </si>
  <si>
    <t>Temporal variations in the diet of the squid Moroteuthis ingens at Macquarie Island:: stomach contents and fatty acid analyses</t>
  </si>
  <si>
    <t>myctophids; digestive gland; mantle; cephalopods; Southern Ocean</t>
  </si>
  <si>
    <t>PENGUIN APTENODYTES-PATAGONICUS; DIGESTIVE GLAND; MYCTOPHID FISHES; MIDWATER FISHES; FOOD-CHAIN; CEPHALOPODA; OCEAN; LIPIDS; ONYCHOTEUTHIDAE; TOOTHFISH</t>
  </si>
  <si>
    <t>The onychoteuthid squid Moroteuthis ingens was collected as by-catch from a commercial trawl fishery in the vicinity of Macquarie Island, within the Pacific sector of the Southern Ocean. Squid were collected during 3 austral summers and 1 austral winter between January 1995 and June 2000. Stomach contents and fatty acid profiles of both mantle and digestive gland tissues were used to determine if the diet of M ingens was subject to temporal variations in this region. Discriminant analysis (DA) of stomach contents data and digestive gland fatty acid data indicated that the diet varied significantly on an interannual basis, most likely due to an increase in the consumption of the myctophid Gymnoscopelus nicholsi during the summer of 1999 relative to the summers of 1995 and 2000. Comparisons with oceanographic data reveal that the summer of 1999 was a period of warmer sea-surface temperatures and reduced primary production compared to the summers of 1995 and 2000. Fluctuations in oceanographic conditions may have underpinned variations in the availability of prey during the study period. DA of digestive gland fatty acid data also indicated that the diet varied significantly between the summer and winter of 2000. Stomach contents data indicate that the myctophid Electrona carlsbergi replaced Krefftichthys anderssoni as a key prey species for M ingens during the winter period, as has been observed for other marine predators in the sub-Antarctic Southern Ocean. A comparison of methods reveals that, while fatty acid analyses greatly aid the interpretation of stomach contents data, both techniques are subject to limitations and are best used in combination.</t>
  </si>
  <si>
    <t>Univ Tasmania, Inst Antarctic &amp; So Ocean Studies, Hobart, Tas 7001, Australia; CSIRO Marine Res, Hobart, Tas 7001, Australia; Univ Tasmania, Antarctic CRC, Hobart, Tas 7001, Australia</t>
  </si>
  <si>
    <t>University of Tasmania; Commonwealth Scientific &amp; Industrial Research Organisation (CSIRO); University of Tasmania</t>
  </si>
  <si>
    <t>Univ Tasmania, Inst Antarctic &amp; So Ocean Studies, Private Bag 77, Hobart, Tas 7001, Australia.</t>
  </si>
  <si>
    <t>katrina@postoffice.antcrc.utas.edu.au</t>
  </si>
  <si>
    <t>Jackson, George D/AAI-7315-2021; Nichols, Peter D/C-5128-2011</t>
  </si>
  <si>
    <t>10.3354/meps256135</t>
  </si>
  <si>
    <t>WOS:000184808900012</t>
  </si>
  <si>
    <t>DiTullio, GR; Geesey, ME; Jones, DR; Daly, KL; Campbell, L; Smith, WO</t>
  </si>
  <si>
    <t>Phytoplankton assemblage structure and primary productivity along 170°W in the South Pacific Ocean</t>
  </si>
  <si>
    <t>phytoplankton assemblage; photosynthetic pigments; productivity; Antarctic circumpolar current; South Pacific gyre; equatorial upwelling; CHEMTAX</t>
  </si>
  <si>
    <t>ANTARCTIC POLAR FRONT; SUBTROPICAL CONVERGENCE REGION; PLANKTONIC COMMUNITY STRUCTURE; WESTERN EQUATORIAL PACIFIC; TROPICAL NORTH PACIFIC; ALGAL CLASS ABUNDANCES; 1992 EL-NINO; MARINE-PHYTOPLANKTON; NEW-ZEALAND; FLOW-CYTOMETRY</t>
  </si>
  <si>
    <t>Phytoplankton pigments were measured using HPLC during non-ENSO conditions in mid-summer along a South Pacific transect from 67degreesS to the equator along 170degreesW. Highest concentrations of chlorophyll a (chl a) occurred in the Polar and the Subtropical Fronts (PF and STF, respectively) with concentrations exceeding 500 ng l(-1). In the STF, there was a distinct subsurface chl a maximum (SCM) at 40 m, which gradually deepened northward to 120 m in the Subtropical Convergence Zone. Northwards, the SCM shoaled to about 30 m in the Equatorial Zone (EZ). Relatively high concentrations of fucoxanthin and 19'-butanoyloxyfucoxanthin occurred in the nutrient-rich waters south of the Subantarctic Front, and CHEMTAX analyses indicated that diatoms, chrysophytes, pelagophytes, and haptophytes dominated the phytoplankton assemblage. Northward of the PF to the STF, where silicate concentrations were &lt;1 muM, pelagophytes and coccolithophorids dominated the water column; diatoms were virtually absent, and Phaeocystis, prasinophytes, cryptophytes, and chlorophytes contributed significantly to the total algal biomass. Phaeocystis populations were dominant at or below the 1% light level. In the South Pacific Gyre (SPG), Synechococcus (Syn) and Prochlorococcus (Pro) were major components of the phytoplankton assemblage with Pro dominant as indicated by both flow cytometry and by the ratio of divinyl chl a:total chl a (0.43 +/- 0.07). Photoacclimation by Pro in the SPG was pronounced, with a higher average divinyl chl a per cell ratio in the SCM (1.1) relative to values (0.1) in the upper waters (0 to 100 m). Primary production rates exceeding 1 mug C l(-1) h(-1) occurred at the surface in the STF. Surface primary production rates were generally &lt;0.4 mug C l(-1) h(-1) across the SPG, but exceeded 1.4 mug C l(-1) h(-1) at the equator. In the EZ, Pro dominated the phytoplankton assemblage, but Phaeocystis and prasinophytes were also major constituents of the assemblage.</t>
  </si>
  <si>
    <t>Univ Charleston, Grice Marine Lab, Charleston, SC 29412 USA; Rutgers State Univ, Haskins Shellfish Res Lab, Port Norris, NJ 08349 USA; Univ S Florida, Coll Marine Sci, St Petersburg, FL 33701 USA; Texas A&amp;M Univ, Dept Oceanog, College Stn, TX 77843 USA; Virginia Inst Marine Sci, Coll William &amp; Mary, Gloucester Point, VA 23602 USA</t>
  </si>
  <si>
    <t>College of Charleston; Rutgers University System; Rutgers University New Brunswick; State University System of Florida; University of South Florida; Texas A&amp;M University System; Texas A&amp;M University College Station; William &amp; Mary; Virginia Institute of Marine Science</t>
  </si>
  <si>
    <t>DiTullio, GR (corresponding author), Univ Charleston, Grice Marine Lab, Charleston, SC 29412 USA.</t>
  </si>
  <si>
    <t>ditullioj@cofc.edu</t>
  </si>
  <si>
    <t>Campbell, Lisa/E-6587-2011</t>
  </si>
  <si>
    <t>Campbell, Lisa/0000-0003-2756-2743</t>
  </si>
  <si>
    <t>10.3354/meps255055</t>
  </si>
  <si>
    <t>703FD</t>
  </si>
  <si>
    <t>WOS:000184268600005</t>
  </si>
  <si>
    <t>Kang, JS; Kang, SH; Kim, D; Kim, DY</t>
  </si>
  <si>
    <t>Planktonic centric diatom Minidiscus chilensis dominated sediment trap material in eastern Bransfield Strait, Antarctica</t>
  </si>
  <si>
    <t>Minidiscus chilensis; sediment trap; Bransfield Strait; diatom valve flux; dominance</t>
  </si>
  <si>
    <t>PENINSULA REGION; ELEPHANT-ISLAND; PARTICLE-FLUX; ASSEMBLAGES; PHYTOPLANKTON; BIOMASS; THALASSIOSIRA; SEA; ICE</t>
  </si>
  <si>
    <t>The planktonic centric diatom Minidiscus chilensis Rivera was collected over 1 yr in a sediment trap at 1000 m depth in one of the deep basins in the eastern Bransfield Strait, Antarctica. The valves of this diatom are 3 to 8 mum in diameter and quadrangular in girdle view. The center of each valve is prominently hyaline with 3 strutted processes and a labiate process. M. chilensis was observed in all of the sediment trap samples collected between December 25, 1998 and December 24, 1999. The flux of M. chilensis into the trap varied considerably according to season, with the highest flux of 2.4 x 10(9) valves m(-2) d(-1) (87% of total diatom valve flux) occurring in mid January when the mooring area was free of sea-ice. The dominance of M. chilensis among planktonic diatoms in Antarctic open waters has not been previously recorded. Our study suggests that M chilensis should be included in future quantitative analyses and should be considered an important species for understanding the ecological structure of Antarctic waters.</t>
  </si>
  <si>
    <t>KORDI, Polar Sci Lab, Seoul 425600, South Korea</t>
  </si>
  <si>
    <t>Kang, JS (corresponding author), KORDI, Polar Sci Lab, Ansan POB 29, Seoul 425600, South Korea.</t>
  </si>
  <si>
    <t>jskang@kordi.re.kr</t>
  </si>
  <si>
    <t>10.3354/meps255093</t>
  </si>
  <si>
    <t>WOS:000184268600007</t>
  </si>
  <si>
    <t>Duquesne, S; Liess, M</t>
  </si>
  <si>
    <t>Increased sensitivity of the macroinvertebrate Paramorea walkeri to heavy-metal contamination in the presence of solar UV radiation in Antarctic shoreline waters</t>
  </si>
  <si>
    <t>UV-B; heavy-metal contamination; environmental parameters; higher-tier risk assessment; amphipod</t>
  </si>
  <si>
    <t>ULTRAVIOLET-B RADIATION; ACUTE TOXICITY; MARINE; ORGANISMS; COPPER; ENVIRONMENT; AMPHIPODA; CRUSTACEA; SEAWATER; CADMIUM</t>
  </si>
  <si>
    <t>A previous laboratory investigation showed that the Antarctic gammarid amphipod Paramorea walkeri is more sensitive to heavy metals when exposed to UV-B radiation. The question addressed in this study is whether this effect is also observed when the species is exposed to combined solar UV radiation and heavy-metal contamination under field conditions. In situ bioassays using P. walkeri showed that exposure to field contamination resulted in a significant decrease of survival. The effects observed were stronger than expected according to the characteristics of the contamination. The hypothesis that solar UV radiation can increase the sensitivity of organisms to metal contaminants was thus tested in an outdoor test system. This revealed that the mortality recorded under exposure to both parameters was increased compared to mortalities resulting from exposure to each single parameter. This increased sensitivity of amphipods to heavy metals in the presence of UV-radiation is discussed as an explanation for the absence of this species in contaminated shallow waters. The effects observed at the individual level would thus be reflected at a population level. This work highlights the necessity to consider environmental parameters such as UV radiation in Antarctica to improve the predictive power in ecological risk assessment.</t>
  </si>
  <si>
    <t>UFZ Helmholtz Ctr Environm Res, Dept Chem Ecotoxicol, D-04318 Leipzig, Germany; Univ Helsinki, Dept Limnol &amp; Environm Protect, FIN-00014 Helsinki, Finland</t>
  </si>
  <si>
    <t>Helmholtz Association; Helmholtz Center for Environmental Research (UFZ); University of Helsinki</t>
  </si>
  <si>
    <t>Duquesne, S (corresponding author), UFZ Helmholtz Ctr Environm Res, Dept Chem Ecotoxicol, Permoserstr 15, D-04318 Leipzig, Germany.</t>
  </si>
  <si>
    <t>sabine.duquesne@onlinehome.de</t>
  </si>
  <si>
    <t>Liess, Matthias/A-8582-2009; Duquesne, Sabine/H-5575-2011</t>
  </si>
  <si>
    <t>Liess, Matthias/0000-0002-3321-8909; Duquesne, Sabine/0000-0001-9874-8540</t>
  </si>
  <si>
    <t>10.3354/meps255183</t>
  </si>
  <si>
    <t>WOS:000184268600015</t>
  </si>
  <si>
    <t>Howell, KL; Pond, DW; Billett, DSM; Tyler, PA</t>
  </si>
  <si>
    <t>Feeding ecology of deep-sea seastars (Echinodermata:Asteroidea):: a fatty-acid biomarker approach</t>
  </si>
  <si>
    <t>fatty acid biomarkers; lipids; diet; Asteroidea; deep-sea ecology</t>
  </si>
  <si>
    <t>PORCUPINE ABYSSAL-PLAIN; HYDROTHERMAL VENT; CTENODISCUS-CRISPATUS; FOOD-WEB; MARINE-INVERTEBRATES; RIMICARIS-EXOCULATA; LIPIDS; ATLANTIC; BACTERIA; DIET</t>
  </si>
  <si>
    <t>Fatty-acid biomarkers and stomach content analysis were used to investigate the diets of 9 species of deep-sea seastar. Polyunsaturated fatty acids were the most abundant categories of fatty acid contained in the total lipids of all species. They were dominated by 20:5 (n-3) and 20:4 (n-6), with 22:6 (n-3) present in much lower proportions. Monounsaturated fatty acids were also abundant, particularly 20:1 (n-13) and (n-9). Odd-numbered, branched-chain fatty acids and non-methylene interrupted dienes (NMIDs) were present in relatively high levels in all species. Cluster and multidimensional scaling (NIDS) analyses of the fatty acid composition separated the seastar species into 3 trophic groups; suspension feeders, predators/scavengers, and mud ingesters. Suspension feeders showed greatest reliance on photosynthetic carbon as indicated by the abundance of fatty-acid biomarkers characteristic of photosynthetic microplankton. By contrast, mud ingesters were found to rely heavily on heterotrophic bacterial carbon, containing high percentages of 18:1 (n-7) and NMIDs. Predator/scavengers occupied a trophic position between the suspension feeders and mud ingesters. Zoroaster longicauda, an asteroid of unknown diet, had a similar fatty acid composition to the 3 suspension feeders, Freyella elegans, Brisingella coronata and Brisinga endecacnemos. While the suspension feeders are specialists on benthopelagic copepods, the preferred prey of Z longicauda is unknown, but is likely to be very similar to that of the suspension feeders. Stomach content analysis revealed the diet of Z. longicauda also includes benthic echinoderms and crustaceans.</t>
  </si>
  <si>
    <t>Southampton Oceanog Ctr, Southampton SO14 3ZH, Hants, England; British Antarctic Survey, Cambridge CB3 0ET, England</t>
  </si>
  <si>
    <t>NERC National Oceanography Centre; University of Southampton; UK Research &amp; Innovation (UKRI); Natural Environment Research Council (NERC); NERC British Antarctic Survey</t>
  </si>
  <si>
    <t>kezl@soc.soton.ac.uk</t>
  </si>
  <si>
    <t>Howell, Kerry L/H-5044-2013</t>
  </si>
  <si>
    <t>Howell, Kerry/0000-0003-3359-1778</t>
  </si>
  <si>
    <t>10.3354/meps255193</t>
  </si>
  <si>
    <t>WOS:000184268600016</t>
  </si>
  <si>
    <t>Agnew, DJ; Marlow, TR; Lorenzen, K; Pompert, J; Wakeford, RC; Tingley, GA</t>
  </si>
  <si>
    <t>Influence of Drake Passage oceanography on the parasitic infection of individual year-classes of southern blue whiting Micromesistius australis</t>
  </si>
  <si>
    <t>Micromesistius australis; southern blue whiting; Kudoa alliaria; parasite density; Southwest Atlantic; Drake Passage</t>
  </si>
  <si>
    <t>ANTARCTIC CIRCUMPOLAR WAVE; SEA-ICE; TEMPERATURE; ABUNDANCE</t>
  </si>
  <si>
    <t>Southern blue whiting Micromesistius australis occurs around the southern coasts of South America and has been known to undertake summer feeding migrations to the Antarctic Peninsula and South Orkney Islands. The largest stock spawns to the southwest of the Falkland Islands and has been the subject of a,major fishery on the Patagonian Shelf since 1978. Fish are infected with cysts of the Myxosporean parasite Kudoa alliaria which make the flesh commercially unattractive for fillets. A 10 yr study initiated in 1989 established that prevalence of the parasite is over 80% for fish older than 1 yr, and that average infection intensities are about 14 cysts per fish. We constructed a combined generalised linear/generalised additive model (GLM/GAM) of parasite abundance in M. australis. The combination of up to 30 ages and 8 yr of data spanning 10 yr allowed us to investigate rates of parasitism in 33 individual cohorts. Strong age and cohort effects in the model implied that the fish acquire parasites in their first 1 to 1 1/2 yr of life and that parasite abundance is set at these ages for the lifetime of the cohort. Several cohorts have statistically significantly lower parasite abundance than the majority, and these instances are roughly coincident with the 7 yr periodicity of sea-ice and sea surface temperature (SST) fluctuations in the Drake Passage. There are significant correlations between SST in the Drake Passage, the duration of sea-ice around Signy Island (South Orkney Islands) with a 1 yr time lag and parasite abundance in a cohort. We hypothesise that these correlations represent changes in the distribution and density of adult M, australis in warm and cold years, which thereby influences the density of the parasite field that juvenile fish encounter.</t>
  </si>
  <si>
    <t>Univ London Imperial Coll Sci Technol &amp; Med, Renewable Resources Assessment Grp, London SW7 2BP, England; Dept Fisheries, Stanley, Falkland Isl, England</t>
  </si>
  <si>
    <t>Imperial College London</t>
  </si>
  <si>
    <t>Ctr Environm Fisheries &amp; Aquaculture Sci, Lowestoft NR33 0HT, Suffolk, England.</t>
  </si>
  <si>
    <t>d.agnew@imperial.ac.uk</t>
  </si>
  <si>
    <t>Lorenzen, Kai/A-3032-2015</t>
  </si>
  <si>
    <t>Lorenzen, Kai/0000-0002-9691-3693</t>
  </si>
  <si>
    <t>10.3354/meps254281</t>
  </si>
  <si>
    <t>696LD</t>
  </si>
  <si>
    <t>WOS:000183887600024</t>
  </si>
  <si>
    <t>Lake, S; Burton, H; van den Hoff, J</t>
  </si>
  <si>
    <t>Regional, temporal and fine-scale spatial variation in Weddell seal diet at four coastal locations in east Antarctica</t>
  </si>
  <si>
    <t>diet; variability; Weddell seal; multivariate statistics; Antarctic; Chorismus; Trematomus; Pleuragramma; Psychroteuthis</t>
  </si>
  <si>
    <t>LEPTONYCHOTES-WEDDELLII; FORAGING BEHAVIOR; VESTFOLD HILLS; PRYDZ BAY; ROSS SEA; FOOD; ICE; BIOLOGY; SQUID; CEPHALOPODA</t>
  </si>
  <si>
    <t>This description of 905 scats from 4 locations in east Antarctica almost doubles the observations of Weddell seal diet reported to date. Regional, temporal and fine-scale spatial variation in diet was evaluated using both randomisation and parametric statistics. Even within the Vestfold Hills (68degrees33'S, 78degrees15'E) there were several different ecotypes. In the southern fjords the diet was benthic fish and prawns, whereas in the northern area the diet was dominated numerically by Pleuragramma antarcticum-a species of pelagic schooling fish. Along the Mawson coast (68degrees00' S, 63degrees00'E) the diet was spatially homogeneous but varied over time. Squid Psychroteuthis glacialis was an important prey type for a short time in spring, and octopus was also abundant in the Mawson diet. As higher order predators, cephalopods represent another layer of complexity in the food web at Mawson. Both Vestfold Hills and Mawson seemed to be good foraging areas compared with Commonwealth Bay (67degrees00'S, 142degrees30'E) and Larsemann Hills (69degrees24'S, 76degrees13'E), where seals appeared to have eaten less during the summer haul-out period. This investigation described inshore diets using scats from coastal haul-out sites; it also showed that small crustaceae (mysids) were an important prey type, thus revealing the capacity for Weddell seals to join the krill-feeding communities north of the continental shelf. The variety in diet composition demonstrated both flexibility in the Weddell seals' foraging response and the range of different prey species available to Weddell seals over the Antarctic continental shelf and slope. In all but the most southerly area reported to date (McMurdo Sound), the seals take multiple prey species, which may minimise the coupling between Weddell seal population dynamics and the dynamics of their prey.</t>
  </si>
  <si>
    <t>Australian Antarctic Div, Kingston, Tas 7050, Australia; Univ Tasmania, Sch Math &amp; Phys, Inst Antarctic &amp; So Ocean Studies, Hobart, Tas 7001, Australia; Univ Tasmania, Sch Zool, Antarct Wildlife Res Unit, Hobart, Tas 7001, Australia</t>
  </si>
  <si>
    <t>Australian Antarctic Division; University of Tasmania; University of Tasmania</t>
  </si>
  <si>
    <t>Lake, S (corresponding author), Australian Antarctic Div, Channel Highway, Kingston, Tas 7050, Australia.</t>
  </si>
  <si>
    <t>se_lake@utas.edu.au</t>
  </si>
  <si>
    <t>10.3354/meps254293</t>
  </si>
  <si>
    <t>WOS:000183887600025</t>
  </si>
  <si>
    <t>Gutt, J; Piepenburg, D</t>
  </si>
  <si>
    <t>Scale-dependent impact on diversity of Antarctic benthos caused by grounding of icebergs</t>
  </si>
  <si>
    <t>biodiversity; intermediate-disturbance hypothesis; mosaic cycle</t>
  </si>
  <si>
    <t>DISTURBANCE; BIODIVERSITY; ICE; RECOLONIZATION; COMMUNITIES; MEIOFAUNA</t>
  </si>
  <si>
    <t>Analysis of seabed video-strips on the Weddell Sea shelf provided evidence that the effects of iceberg scouring on megabenthic assemblages differ, depending on spatial scale. At a local scale (1 to 100 m), undisturbed glass sponge-associated habitats were significantly more diverse than disturbed ones; at a regional scale (1 to 100 km), increased habitat heterogeneity caused by iceberg scouring enhanced species diversity. The pace and succession of the recolonization exhibits high variability and is difficult to predict. The results not only underpin the concept that disturbance events are essential factors in the regulation of ecosystem dynamics, but also emphasize the relevance of scale in the evaluation and explanation of diversity patterns.</t>
  </si>
  <si>
    <t>Alfred Wegener Inst Polar &amp; Marine Res, D-27568 Bremerhaven, Germany; Inst Polar Ecol, D-24148 Kiel, Germany</t>
  </si>
  <si>
    <t>Alfred Wegener Inst Polar &amp; Marine Res, Columbusstr, D-27568 Bremerhaven, Germany.</t>
  </si>
  <si>
    <t>jgutt@awi-bremerhaven.de</t>
  </si>
  <si>
    <t>Piepenburg, Dieter/H-3251-2019; Piepenburg, Dieter/GQP-9916-2022</t>
  </si>
  <si>
    <t>Piepenburg, Dieter/0000-0003-3977-2860; Gutt, Julian/0000-0003-3773-9370</t>
  </si>
  <si>
    <t>10.3354/meps253077</t>
  </si>
  <si>
    <t>689JE</t>
  </si>
  <si>
    <t>WOS:000183487200007</t>
  </si>
  <si>
    <t>Haywood, GJ; Burns, CW</t>
  </si>
  <si>
    <t>Feeding response of Nyctiphanes australis (Euphausiacea) to various nanoplankton sizes and taxa</t>
  </si>
  <si>
    <t>zooplankton; nanoplankton; ingestion rate</t>
  </si>
  <si>
    <t>ANTARCTIC KRILL; THYSANOESSA-RASCHII; SOUTH GEORGIA; GRAZING RATES; SUPERBA DANA; FOOD QUALITY; NEW-ZEALAND; PARTICLES; BEHAVIOR; GROWTH</t>
  </si>
  <si>
    <t>Nanoplankton (2 to 20 mum) are a substantial fraction of the plankton in the sea, where they form a potential food source for zooplankton. Monocultures of 12 nanoplankton taxa of different cell size and 1 species of Thalassiosira (microplankton) were offered to Nyctiphanes australis to determine whether they would be consumed and, if so, determine rates of clearance and ingestion by the euphausiid. N. australis ingested very small cells (3.5 to 5.4 mum equivalent spherical diameter) at rates less than or equal to 5 x 10(5) cells h(-1). A total of 8 nanoplankton taxa were consumed at rates that provided N. australis with its minimum food requirement of 2% body carbon d(-1), and so could maintain it when microplankton abundance is low. Our results suggest that N, australis can detect and avoid unpalatable food such as the chlorophytes Dunaliella and Nannochloris, but is susceptible to the toxic dinoflagellate Alexandrium minutum.</t>
  </si>
  <si>
    <t>Univ Otago, Dept Zool, Dunedin, New Zealand</t>
  </si>
  <si>
    <t>University of Otago</t>
  </si>
  <si>
    <t>Haywood, GJ (corresponding author), Univ Otago, Dept Zool, Box 56, Dunedin, New Zealand.</t>
  </si>
  <si>
    <t>graemehaywood@clear.net.nz</t>
  </si>
  <si>
    <t>Haywood, Graeme J/G-1369-2010</t>
  </si>
  <si>
    <t>10.3354/meps253209</t>
  </si>
  <si>
    <t>WOS:000183487200019</t>
  </si>
  <si>
    <t>Albessard, E; Mayzaud, P</t>
  </si>
  <si>
    <t>Influence of tropho-climatic environment and reproduction on lipid composition of the euphausiid Meganyctiphanes norvegica in the Ligurian Sea, the Clyde Sea and the Kattegat</t>
  </si>
  <si>
    <t>krill; lipids; adaptation; reproduction; trophic environment; triacylglycerol; phospholipids; Meganyctiphanes norvegica; temperature; salinity</t>
  </si>
  <si>
    <t>FATTY-ACID-COMPOSITION; RASCHII M-SARS; ANTARCTIC KRILL; NORTHERN KRILL; ECOLOGICAL INVESTIGATIONS; ZOOPLANKTON COMMUNITY; THYSANOESSA-INERMIS; ACCLIMATION TEMPERATURE; PHOSPHOLIPID-METABOLISM; BIOCHEMICAL-COMPOSITION</t>
  </si>
  <si>
    <t>Lipid content and lipid-class distribution in the northern krill Meganyctiphanes norvegica (M. Sars, 1857) was investigated in 3 contrasting (in terms of climatic and trophic conditions) areas: the Ligurian Sea, the Clyde Sea and the Kattegat. Seasonal differences in the lipid content of krill were closely related to food supply coupled with the krill reproductive state in both the Ligurian Sea and in the Clyde Sea. In the Kattegat, the lipid reserves of reproductive krill were low and probably used continuously over a longer reproduction period and successive spawning cycles. In the Ligurian and Clyde Seas, female krill lost 55 and 33% of their cephalothorax (CT) lipids through spawning. The content of triacylglycerol (TAG) and phosphatidylcholine (PC), both major lipids in the CT, were higher when food conditions were optimal at the 3 sites, and were correlated to chlorophyll a (chl a) concentration in the Ligurian and Clyde Seas. The influence of reproduction on lipid-class distribution in the Clyde and Ligurian Seas was expressed by a large decrease in PC and TAG throughout spawning, while in the Kattegat PC and TAG levels were low irrespective of the reproductive state. The relative influence of environmental and physiological factors on the lipid distribution of krill in the CT and abdomen (AB) among the 3 locations was evaluated using principal components analysis. In the CT, TAG and PC along with minor lipids were major discriminating factors and were strongly correlated to total lipid content and chl a concentrations. For reproducive krill, marked differences in the CT and AB indicated covariation between reproduction and trophic conditions. The influence of the physical environment on M. norvegica at sexual rest found expression in variation in the membrane lipids in the AB across the different temperature and salinity regimes at the 3 sites. The results are discussed in terms of adaptive mechanisms involving lipid distribution and metabolism developed by the species.</t>
  </si>
  <si>
    <t>Observ Oceanol Oceanog Biochim &amp; Ecol, Lab Oceanog Villefranche, LOV UMR 7093, F-06230 Villefranche Sur Mer, France</t>
  </si>
  <si>
    <t>Sorbonne Universite; Centre National de la Recherche Scientifique (CNRS); CNRS - National Institute for Earth Sciences &amp; Astronomy (INSU)</t>
  </si>
  <si>
    <t>Mayzaud, P (corresponding author), Observ Oceanol Oceanog Biochim &amp; Ecol, Lab Oceanog Villefranche, LOV UMR 7093, BP 28, F-06230 Villefranche Sur Mer, France.</t>
  </si>
  <si>
    <t>mayzaud@obs-vlfr.fr</t>
  </si>
  <si>
    <t>10.3354/meps253217</t>
  </si>
  <si>
    <t>Green Submitted, Bronze</t>
  </si>
  <si>
    <t>WOS:000183487200020</t>
  </si>
  <si>
    <t>Yamada, Y; Ikeda, T</t>
  </si>
  <si>
    <t>Metabolism and chemical composition of four pelagic amphipods in the Oyashio region, western subarctic Pacific Ocean</t>
  </si>
  <si>
    <t>pelagic amphipods; metabolism; chemical composition; vertical distribution; food habits</t>
  </si>
  <si>
    <t>SUB-ARCTIC PACIFIC; ANTARCTIC MICRONEKTONIC CRUSTACEA; MIDWATER CRUSTACEANS; AMMONIA EXCRETION; NORTHERN JAPAN; SOUTHERN-CALIFORNIA; SEASONAL-VARIATIONS; OXYGEN-CONSUMPTION; MARINE ZOOPLANKTON; MESOPELAGIC ZONE</t>
  </si>
  <si>
    <t>As a basis for estimating trophic functions of amphipods in the pelagic ecosystem, oxygen consumption and ammonia excretion rates were determined for 4 amphipods, Themisto pacifica, T japonica, Primno abyssalis and Cyphocaris challengeri in the Oyashio region in the western subarctic Pacific Ocean. Water, ash and elemental composition (carbon, C; nitrogen, N) were also determined. For the 4 amphipod species, water content ranged from 67.8 to 89.7% of wet weight, ash from 15.2 to 46.5% of dry weight, C from 27.4 to 67.1% of dry weight, and N from 5.3 to 11.8%, of dry weight. Comparisons of weight-adjusted metabolic rate (AMR) among amphipods showed T. pacifica to be the most active species (15.2 mul O-2 body N-0.90 h(-1)), followed by T. japonica (10.3), P. abyssalis (10.2) and C. challengeri (5.9). The first 2 species changed order when the AMR for ammonia excretion was determined (T japonica, T pacifica, P. abyssalis and C. challengeri). The atomic ratio of O:N derived from oxygen consumption and ammonia excretion data varied by species, ranging from 18.7 (T japonica) to 85.2 (C. challengeri). An alternate method of assessing metabolic activity using daily metabolic losses in body C (from oxygen consumption data) and N (from ammonia excretion data) was also computed. The results led to a similar conclusion to that reached from AMR results. The interspecific differences in metabolism and body composition among these 4 sympatric amphipods are discussed in terms of species-specific vertical distribution patterns and differing food habits. The present results are compared with published data on congeneric amphipods in other regions.</t>
  </si>
  <si>
    <t>Hokkaido Univ, Grad Sch Fisheries Sci, Marine Biodivers Lab, Hakodate, Hokkaido 0418611, Japan</t>
  </si>
  <si>
    <t>Hokkaido University</t>
  </si>
  <si>
    <t>Yamada, Y (corresponding author), Univ Tokyo, Ocean Res Inst, Nakano Ku, 1-15-1 Minamidai, Tokyo 1648639, Japan.</t>
  </si>
  <si>
    <t>cha@ori.u-tokyo.ac.jp</t>
  </si>
  <si>
    <t>10.3354/meps253233</t>
  </si>
  <si>
    <t>WOS:000183487200021</t>
  </si>
  <si>
    <t>Lea, MA; Cherel, Y; Guinet, C; Nichols, PD</t>
  </si>
  <si>
    <t>Antarctic fur seals foraging in the Polar Frontal Zone: inter-annual shifts in diet as shown from fecal and fatty acid analyses (vol 245, pg 281, 2002)</t>
  </si>
  <si>
    <t>Lea, Mary-Anne/E-9054-2013; Nichols, Peter D/C-5128-2011; Guinet, Christophe/AAR-8457-2020</t>
  </si>
  <si>
    <t>WOS:000183487200028</t>
  </si>
  <si>
    <t>Tarling, GA; Jarvis, T; Matthews, JBL</t>
  </si>
  <si>
    <t>Calanus finmarchicus descends in response to the arrival of krill -: better unfed than dead</t>
  </si>
  <si>
    <t>DIEL VERTICAL MIGRATIONS; MEGANYCTIPHANES-NORVEGICA; DYNAMICS; BEHAVIOR; FOOD</t>
  </si>
  <si>
    <t>British Antarctic Survey, Cambridge CB3 0ET, England; Highlands &amp; Isl Millennium Inst, Marine Sci Fac, Oban PA34 4AD, Argyll, Scotland; Scottish Assoc Marine Sci, Oban PA34 4AD, Argyll, Scotland</t>
  </si>
  <si>
    <t>UK Research &amp; Innovation (UKRI); Natural Environment Research Council (NERC); NERC British Antarctic Survey; UHI Millennium Institute; UHI Millennium Institute</t>
  </si>
  <si>
    <t>Tarling, GA (corresponding author), British Antarctic Survey, High Cross,Madingley Rd, Cambridge CB3 0ET, England.</t>
  </si>
  <si>
    <t>Jarvis, Toby/JCP-5041-2023</t>
  </si>
  <si>
    <t>Jarvis, Toby/0000-0002-3363-614X</t>
  </si>
  <si>
    <t>10.3354/meps252307</t>
  </si>
  <si>
    <t>686MP</t>
  </si>
  <si>
    <t>WOS:000183325800025</t>
  </si>
  <si>
    <t>Jones, EG; Tselepides, A; Bagley, PM; Collins, MA; Priede, IG</t>
  </si>
  <si>
    <t>Bathymetric distribution of some benthic and benthopelagic species attracted to baited cameras and traps in the deep eastern Mediterranean</t>
  </si>
  <si>
    <t>baited camera; autonomous lander; Hexanchus griseus; Chalinura mediterranea</t>
  </si>
  <si>
    <t>ORGANIC-MATTER COMPOSITION; SEA DEMERSAL FISHES; NORTHEAST ATLANTIC; CONTINENTAL-SHELF; CRETAN SEA; MEGAFAUNAL ASSEMBLAGES; RELATIVE DENSITY; FEEDING-HABITS; ROCKALL TROUGH; DEPTH</t>
  </si>
  <si>
    <t>A series of baited camera and trap experiments in the eastern Mediterranean Sea between 1500 and 4264 m depth attracted a variety of opportunistic scavengers, with species composition changing with increasing depth, At the shallower stations (1500 to 1800 m), decapod crustaceans and fishes, dominated by elasmobranchs such as Hexanchus griseus, were attracted to and actively consumed the bait. Some of these species were observed at depths exceeding their previously reported ranges. This was believed to be a result of the absence of deep-water scavengers from the adjacent Atlantic due to dispersal barriers and elevated temperatures at depth. The diversity of bait-attending fauna declined with increasing depth. Elasmobranchs were not observed below 2500 m, and below 4000 m only the caridean shrimp Acanthephyra eximia and the macrourid Chalinura mediterranea were present; at this latter depth, bait consumption was negligible. This shift in species composition was reflected in changes in first arrival times. Increasing first arrival times of H. griseus suggested a decline in relative abundance from 1500 to 2500 m, whilst those of C. mediterranea indicated an increase in relative abundance from 1800 to 4264 m.</t>
  </si>
  <si>
    <t>Fisheries Res Serv, Marine Lab, Aberdeen AB11 9DB, Scotland; Univ Aberdeen, OceanLab, Aberdeen AB41 6AA, Scotland; Inst Marine Biol Crete, Iraklion 710003, Crete, Greece; British Antarctic Survey, Cambridge CB3 0ET, England</t>
  </si>
  <si>
    <t>University of Aberdeen; UK Research &amp; Innovation (UKRI); Natural Environment Research Council (NERC); NERC British Antarctic Survey</t>
  </si>
  <si>
    <t>Fisheries Res Serv, Marine Lab, POB 101, Aberdeen AB11 9DB, Scotland.</t>
  </si>
  <si>
    <t>jonese@marlab.ac.uk</t>
  </si>
  <si>
    <t>Tselepides, Anastasios/AAO-3965-2021; Collins, Martin A/J-8560-2017; , Martin/ABE-6728-2020</t>
  </si>
  <si>
    <t>, Martin/0000-0001-7132-8650; Priede, Imants/0000-0002-5064-9751; Tselepides, Anastasios/0000-0002-7880-9091</t>
  </si>
  <si>
    <t>10.3354/meps251075</t>
  </si>
  <si>
    <t>679JP</t>
  </si>
  <si>
    <t>WOS:000182917300007</t>
  </si>
  <si>
    <t>Woehler, EJ; Raymond, B; Watts, DJ</t>
  </si>
  <si>
    <t>Decadal-scale seabird assemblages in Prydz Bay, East Antarctica</t>
  </si>
  <si>
    <t>seabirds at sea; community dynamics; seabird assemblages; penguins; petrels; albatrosses; Antarctica; Southern Ocean</t>
  </si>
  <si>
    <t>SOUTHERN-OCEAN; ECOLOGICAL STRUCTURE; COMMUNITY STRUCTURE; SEA; ABUNDANCE; BIOMASS; BIRDS</t>
  </si>
  <si>
    <t>A total of 26 species/taxa make up the seabird community of Prydz Bay, East Antarctica, of which 9 are resident breeding species, Analyses of almost 32 000 at-sea observations over 20 yr (1980/81 to 2001/02) identified 3 assemblages. Observations of Assemblage 1, which included the 9 resident species, were consistent with the influx, presence and departure of breeding birds to their colonies around Prydz Bay. Assemblage 2 was comprised of all seabird species/taxa reported from Prydz Bay and represented an overlap (in time and space) assemblage, being observed in late summer in central Prydz Bay, Assemblage 3 consisted principally of the non-resident species/taxa that visit Prydz Bay every summer from sub-Antarctic and temperate breeding localities. This assemblage was observed most frequently in mid to late summer and well offshore. Two species were found to be indicator species of all 3 assemblages; this is proposed to be a result of their Antarctic and sub-Antarctic breeding distributions that in turn produce broad ranges in their at-sea distributions in the Southern Ocean. Assemblage 1 is similar to the pack-ice associated seabird assemblage identified elsewhere around the Antarctic, differing only in species composition due to species' breeding distributions at regional scales. Analyses at finer temporal scales (decadal and semi-decadal) identified the same assemblages, indicating the stability of seabird assemblages over the 1980/81 to 2001/02 period within Prydz Bay.</t>
  </si>
  <si>
    <t>eric.woehler@aad.gov.au</t>
  </si>
  <si>
    <t>Watts, David/0000-0002-0373-1971; Woehler, Eric/0000-0002-1125-0748</t>
  </si>
  <si>
    <t>10.3354/meps251299</t>
  </si>
  <si>
    <t>WOS:000182917300025</t>
  </si>
  <si>
    <t>Orejas, C; Gili, JM; Arntz, W</t>
  </si>
  <si>
    <t>Role of small-plankton communities in the diet of two Antarctic octocorals (Primnoisis antarctica and Primnoella sp.)</t>
  </si>
  <si>
    <t>feeding ecology; suspension feeders; antarctic gorgonians; small-plankton communities</t>
  </si>
  <si>
    <t>BENTHIC SUSPENSION FEEDERS; GORGONIAN PARAMURICEA-CLAVATA; KING-GEORGE-ISLAND; BRACHIOPOD LIOTHYRELLA-UVA; IN-SITU; WEDDELL SEA; SEASONAL-VARIATION; FEEDING-ACTIVITY; ECOLOGICAL ROLE; COASTAL WATERS</t>
  </si>
  <si>
    <t>The diet composition of 2 Antarctic octocorals, Primnoisis antarctica and Primnoella sp,, from the shelf of the eastern Weddell Sea (Antarctica) is studied here for the first time. Although mesozooplankton is very scarce in the diet of these organisms, it seems to be important because of its high carbon content, Feeding experiments showed that components of the seston, including the finer fraction of suspended organic matter (ciliates, dinoflagellates and phytoplankton), are also an important part of the octocoral diet. In P antarctica, the diatom Fragillariopsis spp. accounted for 77% of the total number of cells captured, followed by dinoflagellates (20%), Nitzschia spp. (2%) and ciliates (1%). In Primnoella sp., dinoflagellates were consumed preferentially (92%), followed by ciliates (6%) and centric diatoms (2%). Biomass consumed, however, was low (1.11 X 10(-5) mg C poly p(-1) d(-1) for P. antarctica and 1.34 x 10(-4) mg C polyp(-1) d(-1) for Primnoella sp.). In P. antarctica, small plankton food covers approximately 49% of the daily energy demand. The ability of these suspension feeders to capture small cells at lower concentrations may allow them to remain seasonally active for considerably longer periods than previously thought.</t>
  </si>
  <si>
    <t>Alfred Wegener Inst Polar &amp; Marine Res, D-27568 Bremerhaven, Germany; CSIC, CMIMA, Inst Ciencias Mar, Barcelona 08003, Spain</t>
  </si>
  <si>
    <t>Helmholtz Association; Alfred Wegener Institute, Helmholtz Centre for Polar &amp; Marine Research; Consejo Superior de Investigaciones Cientificas (CSIC); CSIC - Centro Mediterraneo de Investigaciones Marinas y Ambientales (CMIMA); CSIC - Instituto de Ciencias del Mar (ICM)</t>
  </si>
  <si>
    <t>Orejas, C (corresponding author), Alfred Wegener Inst Polar &amp; Marine Res, Columbusstr, D-27568 Bremerhaven, Germany.</t>
  </si>
  <si>
    <t>orejas@zmt.uni-bremen.de</t>
  </si>
  <si>
    <t>Orejas, Covadonga/B-1644-2012</t>
  </si>
  <si>
    <t>Orejas Saco del Valle, Covadonga/0000-0002-2580-1002</t>
  </si>
  <si>
    <t>10.3354/meps250105</t>
  </si>
  <si>
    <t>678EG</t>
  </si>
  <si>
    <t>WOS:000182851600010</t>
  </si>
  <si>
    <t>Thomasson, MA; Johnson, ML; Strömberg, JO; Gaten, E</t>
  </si>
  <si>
    <t>Swimming capacity and pleopod beat rate as a function of sex, size and moult stage in Northern krill Meganyctiphanes norvegica</t>
  </si>
  <si>
    <t>krill; swimming capacity; DVM; moult stage; pelagic ecophysiology</t>
  </si>
  <si>
    <t>DOPPLER CURRENT PROFILERS; MOLT CYCLE; EUPHAUSIA-SUPERBA; ANTARCTIC KRILL; VERTICAL MIGRATION; BEHAVIOR; CRUSTACEA; KATTEGAT; HISTORY; GROWTH</t>
  </si>
  <si>
    <t>An experimental method to estimate the relative swimming capacity of pelagic crustaceans is proposed. Swimming capacity measured as propulsive force can be estimated by attaching the animal to a virtually friction free rotational displacement transducer with an arm allowing only forward and backward movements. The method also allows determination of beat rates of the pleopod cycle. Results from the use of the method on different sizes, sexes and moult stages of Northern krill Aleganyctiphanes norvegica indicate that the swimming capacity of krill increases with the size of the animal, although pleopod beat frequency decreases with increasing size of the animal. We found no difference in swimming capacity between females and males, but female krill had a higher pleopod beat frequency than males. The moult stage of the animal affects the swimming capacity, with newly moulted krill being weaker swimmers. It also affects pleopod beat frequency, with newly moulted krill having the lowest frequency. We argue that results of this kind may be useful in attempts to interpret observed demographic distribution patterns in migration studies as well as in studies of krill population dynamics.</t>
  </si>
  <si>
    <t>Kristineberg Marine Res Stn, S-45034 Fiskebackskil, Sweden; Univ Hull, Scarborough Ctr Coastal Studies, Scarborough YO11 3AZ, England; Univ Leicester, Dept Biol, Leicester LE1 7RH, Leics, England</t>
  </si>
  <si>
    <t>University of Hull; University of Leicester</t>
  </si>
  <si>
    <t>Thomasson, MA (corresponding author), Kristineberg Marine Res Stn, S-45034 Fiskebackskil, Sweden.</t>
  </si>
  <si>
    <t>m.thomasson@kmf.gu.se</t>
  </si>
  <si>
    <t>Gaten, Edward/B-4513-2011</t>
  </si>
  <si>
    <t>Johnson, Magnus/0000-0002-8163-4026</t>
  </si>
  <si>
    <t>10.3354/meps250205</t>
  </si>
  <si>
    <t>WOS:000182851600019</t>
  </si>
  <si>
    <t>Takahashi, A; Dunn, MJ; Trathan, PN; Sato, K; Naito, Y; Croxall, JP</t>
  </si>
  <si>
    <t>Foraging strategies of chinstrap penguins at Signy Island, Antarctica: importance of benthic feeding on Antarctic krill</t>
  </si>
  <si>
    <t>chinstrap penguins; antarctic krill; diving behaviour; foraging efficiency; benthic dive; Signy Island</t>
  </si>
  <si>
    <t>EUPHAUSIA-SUPERBA DANA; SOUTH SHETLAND-ISLANDS; DIVING BEHAVIOR; ADELIE PENGUINS; PYGOSCELIS-ADELIAE; ROCKHOPPER PENGUINS; MARINE ECOSYSTEM; ORKNEY ISLANDS; CLIMATE-CHANGE; GEORGE-ISLAND</t>
  </si>
  <si>
    <t>Chinstrap penguins Pygoscelis antarctica are one of the major consumers of Antarctic krill Euphausia superba in the Southern Ocean. To examine their foraging strategy, we studied foraging trip patterns and diving behaviour of chinstrap penguins breeding at Signy Island, Antarctica, using time-depth recorders. Foraging trips of penguins could be divided into 2 groups, short diurnal (7.8 h) and longer overnight (19.9 h) trips, with diurnal trips (74%) being dominant in number (263 out of 355 trips). The diving depths of our study birds were much deeper (to 179 m) than previous studies on this species, with modal maximum dive depth at around 90 to 100 m. Diving patterns and profiles included typical pelagic dives, but also included series of consecutive square-wave shaped dives reaching similar maximum depth, the typical characteristics of benthic dives. These benthic-type dives were more abundant in diurnal foraging trips than overnight trips. Analysis of stomach contents showed that penguins on both types of trip fed almost exclusively on Antarctic krill. There was a positive relationship between indices of the proportion of benthic feeding and of foraging efficiency (stomach content mass divided by foraging trip duration). These results highlight the potential importance of benthic feeding on Antarctic krill, the first such recorded instance for chinstrap penguins. This previously undescribed foraging strategy by one of the major avian consumers of Antarctic krill provides a new insight into the predator-prey interactions of the Antarctic coastal marine ecosystem.</t>
  </si>
  <si>
    <t>British Antarctic Survey, NERC, Cambridge CB3 0ET, England; Natl Inst Polar Res, Tokyo 1738515, Japan</t>
  </si>
  <si>
    <t>UK Research &amp; Innovation (UKRI); Natural Environment Research Council (NERC); NERC British Antarctic Survey; Research Organization of Information &amp; Systems (ROIS); National Institute of Polar Research (NIPR) - Japan</t>
  </si>
  <si>
    <t>atak@bas.ac.uk</t>
  </si>
  <si>
    <t>Dunn, Michael/0000-0003-4633-5466</t>
  </si>
  <si>
    <t>10.3354/meps250279</t>
  </si>
  <si>
    <t>WOS:000182851600024</t>
  </si>
  <si>
    <t>Fiala, M; Delille, B; Dubreuil, C; Kopczynska, E; Leblanc, K; Morvan, J; Quéguiner, B; Blain, S; Cailliau, C; Conan, P; Corvaisier, R; Denis, M; Frankignoulle, M; Oriol, L; Roy, S</t>
  </si>
  <si>
    <t>Mesoscale surface distribution of biogeochemical characteristics in the Crozet Basin frontal zones (South Indian Ocean)</t>
  </si>
  <si>
    <t>frontal zones; nutrients; biogenic silica; chlorophyll a; pCO(2); phytoplankton; bacteria</t>
  </si>
  <si>
    <t>SIZE-FRACTIONATED PHYTOPLANKTON; SUBTROPICAL CONVERGENCE REGION; ANTARCTIC CIRCUMPOLAR CURRENT; PRINCE-EDWARD-ISLANDS; SPECIES COMPOSITION; ATLANTIC-OCEAN; AUSTRAL WINTER; NEW-ZEALAND; LATE SUMMER; COMMUNITY STRUCTURE</t>
  </si>
  <si>
    <t>A mesoscale study was conducted in January and February 1999 in the Crozet Basin frontal zones (43degrees50' to 45degrees20'S, 61degrees00' to 64degrees30'E) within the southernmost and easternmost convergence area of the Antarctic Circumpolar Current (ACC) and the Agulhas Return Current (ARC). Distribution of biogeochemical parameters was strongly linked to the merged Subtropical (STF) and Subantarctic (SAF) Fronts which mark the border between the cold and less saline subantarctic waters and the warm and more saline subtropical waters. This survey took place during a post-bloom period. Chlorophyll a concentrations were low throughout the study area ranging from 0.2 mug l(-1) in the Polar Frontal Zone (PFZ) to 0.4 mug l(-1) in the Subtropical Zone (STZ). Maximum chlorophyll a values (0.8 mug l(-1)) associated with an increase in biogenic silica concentration (from 0.03 to 0.34 muM) and a diatom peak (1.2 x 10(5) cells l(-1)) were encountered in the northeastern part of the STF edge. Despite northwardly decreasing concentrations of nitrates from 14 muM in the PFZ to 6 PM in the STZ, they were not the main factor limiting phytoplankton growth. Low silicic acid (mean = 0.6 muM) could have limited diatom development in the PFZ and the STZ where diatom numbers were low. In STZ waters, where average diatom numbers were highest, various species of Nitzschia and Thalassiothrix were common, but Pseudonitzschia spp. were dominant. Throughout the survey area, pico- and nano-sized cells dominated the phytoplankton assemblage, and their number was the highest in the STZ. Cyanobacteria, only present in subtropical waters &gt;12.5degreesC, were the major component of the picoplankton size-fraction. While dinoflagellate numbers were low in the Subantarctic Zone (SAZ), their abundance and species numbers increased in the STZ, where Oxytoxum laticeps became dominant and several further large-size species of Prorocentrum, Ceratium and Gymnodinium appeared in addition to those at the STF. The distribution of different biogeochemical parameters suggests that the Crozet Basin frontal region is a non-exporting system at the end of summer. During this post-bloom period, biological activity is low and phytoplankton growth severely limited. This is evidenced by the weak dependence of the partial pressure of carbon dioxide (pCO(2)) on biological activity and the importance of the air-sea exchange in maintaining pCO(2) close to saturation.</t>
  </si>
  <si>
    <t>Univ Paris 06, UMR CNRS 7621, Lab Arago, F-66651 Banyuls sur Mer, France; Univ Liege, Inst Phys, Unite Oceanog Chim, B-4000 Sart Tilman Par Liege, Belgium; Univ Mediterranee, UMR CNRS 6535, Lab Oceanog &amp; Biogeochim, F-13288 Marseille 9, France; Polish Acad Sci, Dept Antarctic Biol, PL-02141 Warsaw, Poland; Ecole Natl Super Chim Rennes, F-35700 Rennes, France; Univ Bretagne Occidentale, Inst Univ Europeen Mer, UMR CNRS 6539, Lab Sci Environm Marin, F-29280 Plouzane, France</t>
  </si>
  <si>
    <t>Centre National de la Recherche Scientifique (CNRS); CNRS - National Institute for Earth Sciences &amp; Astronomy (INSU); Sorbonne Universite; University of Liege; Aix-Marseille Universite; Polish Academy of Sciences; Universite de Rennes; Ecole Nationale Superieure de Chimie de Rennes (ENSCR); Universite de Bretagne Occidentale; Institut Universitaire Europeen de la Mer (IUEM); Centre National de la Recherche Scientifique (CNRS); Ifremer; Institut de Recherche pour le Developpement (IRD)</t>
  </si>
  <si>
    <t>Fiala, M (corresponding author), Univ Paris 06, UMR CNRS 7621, Lab Arago, F-66651 Banyuls sur Mer, France.</t>
  </si>
  <si>
    <t>mfiala@obs-banyuls.fr</t>
  </si>
  <si>
    <t>Leblanc, Karine/C-6029-2009; Quéguiner, Bernard/B-4060-2008; CONAN, Pascal/GZN-1170-2022; Delille, Bruno/C-3486-2008; blain, stephane/F-6917-2010</t>
  </si>
  <si>
    <t>Quéguiner, Bernard/0000-0001-5020-8297; CONAN, Pascal/0000-0002-2879-9411; Delille, Bruno/0000-0003-0502-8101; blain, stephane/0000-0002-5234-2446</t>
  </si>
  <si>
    <t>10.3354/meps249001</t>
  </si>
  <si>
    <t>664WF</t>
  </si>
  <si>
    <t>WOS:000182086100001</t>
  </si>
  <si>
    <t>Barnes, DKA; Brockington, S</t>
  </si>
  <si>
    <t>Zoobenthic biodiversity, biomass and abundance at Adelaide Island, Antarctica</t>
  </si>
  <si>
    <t>polar; community; marine; zonation; echinoids; hotspot</t>
  </si>
  <si>
    <t>KING-GEORGE-ISLAND; SOUTH-SHETLAND; DIVERSITY GRADIENTS; POTTER COVE; EPIFAUNAL COMMUNITIES; BENTHIC COMMUNITY; SPECIES RICHNESS; SIGNY ISLAND; PATTERNS; SEA</t>
  </si>
  <si>
    <t>The waters surrounding Antarctica are amongst the most isolated large areas of continental shelf, cut off for about 15 to 30 million yr by both deep water and the oceanographic barrier of the Polar Frontal Zone (PFZ). Although certain taxa are notably absent, shelf seabed richness (of the mostly endemic species) can be very high. Most of Antarctica's shallow shelf lies between 67 and 72degreesS, although virtually all the growing southern polar marine biology literature has been carried out to the north or south of this. Here we report one of the first, and the most detailed, quantitative studies of benthic faunal abundance, diversity and biomass from within this latitudinal belt (at Adelaide Island, Antarctic Peninsula). Representatives of 16 phyla, 25 classes, 34 orders and at least 75 species were found in the 40 samples of 0.25 m(2) area. This is rich, especially for polar localities described to date. Faunal abundance increased logarithmically from &lt;100 to &gt;10 000 individuals m(-2) from the intertidal to 35 m respectively. Annelids and bryozoans were the most numerous, and cryptofauna (such as these 2 phyla) exerted a major influence on both patterns and absolute values of diversity. Subtidal biomass increased from 500 to 10 000 g m(-2) at 3 to 35 m respectively and is, overall, the highest for any polar locality within the 0 to 40 m depth range. The echinoid Sterechinus neumayeri was the principal cause of these high values as it dominated biomass at all subtidal depths, although molluscs (particularly the limpet Nacella concinna) were important in the shallows. Striking subtidal zonation was apparent, demarked by both inter- and intra-specific characteristics. We suggest that faunistic bathymetric organisation essentially forms 3 zones comprising different suites of species and is also demarked by the population structure of the species S. neumayeri. Not only do the species S. neumayeri and N. concinna show strong zonation in occurrence but also their grazing activity is probably a strong agent producing similar patterns in cryptobenthos (through removal of recruits). We propose a general schematic (a diagram) of zonation as declining in the littoral southwards towards the PFZ and increasing in the subtidal southwards from the PFZ.</t>
  </si>
  <si>
    <t>British Antarctic Survey, NERC, Div Biol Sci, Cambridge CB3 0ET, England; Svitzer Ltd, Great Yarmouth NR31 0LT, Norfolk, England</t>
  </si>
  <si>
    <t>Barnes, DKA (corresponding author), British Antarctic Survey, NERC, Div Biol Sci, Madingley Rd, Cambridge CB3 0ET, England.</t>
  </si>
  <si>
    <t>10.3354/meps249145</t>
  </si>
  <si>
    <t>WOS:000182086100012</t>
  </si>
  <si>
    <t>Walton, M; Pomeroy, P</t>
  </si>
  <si>
    <t>Use of blubber fatty acid profiles to detect inter-annual variations in the diet of grey seals Halichoerus grypus</t>
  </si>
  <si>
    <t>fatty acids; grey seals; diet; blubber</t>
  </si>
  <si>
    <t>ANTARCTIC FUR SEALS; ADIPOSE-TISSUE; HARBOR-SEALS; CLASSIFICATION TREES; FORAGING ECOLOGY; MORAY-FIRTH; NORTH-SEA; PHOCA-GROENLANDICA; GRAY SEALS; SIGNATURES</t>
  </si>
  <si>
    <t>Diet, and how it varies in place and time, are important factors in understanding the interactions between seals and fisheries, The grey seal eats a wide variety of prey species and variations in availability of prey can lead to changes in both foraging behaviour and diet that could affect the ecological impact of the seals. Since it is difficult to observe the feeding behaviour of seals directly, we have used changes in the fatty acid profiles of blubber to indicate changes in their diet. We studied inter-colony and inter-annual variations in the fatty acid profiles of female seals from 2 Scottish breeding colonies, North Rona (RON) and the Isle of May, over 3 consecutive years from 1996 to 1998. The fatty acid profiles obtained were compared and tested using several multivariate statistical methods, including a new inter-population measure Dfap (a distance measure based on fatty acid profiles), There were significant inter-colony differences in blubber fatty acids in all years,of the study. There were significant within-colony variations among years for the seals at the Isle of May but not at RON. Individual seals sampled in more than 1 yr tended to change in a similar manner at the Isle of May but not at RON. Discriminant analysis of the fatty acid profiles provided classifications of the Isle of May seals according to year with 84 to 97 % accuracy, but was less successful with the RON seals with 56 to 74 % accuracy. Only 4 out of 166 seals were 'mis-classified' into the wrong Isle of May or RON grouping. This analysis suggested a shift in diet at the Isle of May that was supported by evidence from a separate study on the analysis of otoliths in seal faeces.</t>
  </si>
  <si>
    <t>Univ St Andrews, Sea Mammal Res Unit, St Andrews KY16 8LB, Fife, Scotland</t>
  </si>
  <si>
    <t>University of St Andrews</t>
  </si>
  <si>
    <t>Univ St Andrews, Sea Mammal Res Unit, St Andrews KY16 8LB, Fife, Scotland.</t>
  </si>
  <si>
    <t>mjw6@st-andrews.ac.uk</t>
  </si>
  <si>
    <t>pomeroy, patrick p/C-1597-2010</t>
  </si>
  <si>
    <t>10.3354/meps248257</t>
  </si>
  <si>
    <t>659GX</t>
  </si>
  <si>
    <t>WOS:000181769500020</t>
  </si>
  <si>
    <t>Clarke, J; Kerry, K; Fowler, C; Lawless, R; Eberhard, S; Murphy, R</t>
  </si>
  <si>
    <t>Post-fledging and winter migration of Adelie penguins Pygoscelis adeliae in the Mawson region of East Antarctica</t>
  </si>
  <si>
    <t>Adelie penguin; winter migration; satellite tracking; fledglings; sea-ice motion; Antarctic divergence; East Antarctica; oceanic gyres</t>
  </si>
  <si>
    <t>PRYDZ BAY REGION; SEA-ICE; EUPHAUSIA-SUPERBA; BECHERVAISE-ISLAND; CIRCUMPOLAR CURRENT; SATELLITE TRACKING; BREEDING SUCCESS; INDIAN-OCEAN; PACK-ICE; SEABIRDS</t>
  </si>
  <si>
    <t>Seven fledging Adelie penguin Pygoscelis adeliae chicks and 4 post-moult adults were satellite tracked using the Argos system during the winters of 1995-97 and 1998, respectively. Six fledglings departed from Bechervaise Island near Mawson station (67degrees 35' S, 62degrees 49' E) during late February of 1996 and 1997 and were tracked for up to 5 mo before transmissions stopped. The 7th fledgling left Magnetic Island near Davis station (68degrees 33' S, 77degrees 54' E) in February 1995 and was tracked for 32 d. All fledglings travelled northward initially, then westward along the edge of the fast ice or in the pack-ice, Fledglings had travelled between 536 and 1931 km to the west of their natal colonies by the time transmissions ceased. Adult Adelie penguins were tracked between March and October 1998, following completion of their annual moult at Bechervaise Island. Instruments were set to transmit for 2 h every 10th day over the first 5 mo and 1 d in 4 thereafter. Adult birds travelled westward until July, after which time they moved north within the expanding pack-ice into known areas of high krill concentration before returning eastward toward their breeding sites. Penguin movements over the winter months were closely related to those of sea ice in the region. Ice motion patterns were in turn influenced by gyral oceanic current systems and wind. We propose that large gyral oceanic systems provide a means, for Adelie penguins to reduce costs of transport as they travel into regions of high productivity during winter and return to their breeding colonies in spring.</t>
  </si>
  <si>
    <t>Australian Antarctic Div, Kingston, Tas 7050, Australia; Univ Colorado, Colorado Ctr Astrodynam Res, Boulder, CO 80309 USA</t>
  </si>
  <si>
    <t>Australian Antarctic Division; University of Colorado System; University of Colorado Boulder</t>
  </si>
  <si>
    <t>10.3354/meps248267</t>
  </si>
  <si>
    <t>WOS:000181769500021</t>
  </si>
  <si>
    <t>Garibotti, IA; Vernet, M; Kozlowski, WA; Ferrario, ME</t>
  </si>
  <si>
    <t>Composition and biomass of phytoplankton assemblages in coastal Antarctic waters: a comparison of chemotaxonomic and microscopic analyses</t>
  </si>
  <si>
    <t>phytoplankton composition; microscopy; chemotaxonomy; photosynthetic pigments; Western Antarctic Peninsula</t>
  </si>
  <si>
    <t>PERFORMANCE LIQUID-CHROMATOGRAPHY; SCOTIA CONFLUENCE AREA; MARINE-PHYTOPLANKTON; SOUTHERN-OCEAN; DUNALIELLA-TERTIOLECTA; ELEPHANT-ISLAND; CHLOROPHYLL-A; QUANTUM YIELD; GROWTH-RATE; CARBON</t>
  </si>
  <si>
    <t>We describe the distribution of phytoplanktonic community composition and biomass from the Western Antarctic Peninsula coast (between 64degrees and 68degrees S) using 2 analytical techniques: microscopy and HPLC of photosynthetic pigments. Phytoplankton biomass was estimated as chlorophyll a (chl a) by HPLC and chemotaxonomic quantification of microalgae biomass was performed by multiple regression analysis of pigment concentrations. For the estimation of chl a: diagnostic pigment ratios, it was found of primary importance to differentiate between phytoplankton assemblages within the study area. Three assemblages were differentiated according to their total standing stock and analyzed independently. Phytoplankton biomass was also estimated as carbon (C) concentration by microscopic analysis of cell abundance and biovolumes. Microscopy and chemotaxonomy give a high level of agreement for phytoplankton characterization, showing an on/offshore gradient, with high diatom and cryptophyte biomass in coastal waters, and a mixed assemblage with low biomass in open waters. This gradient was not observed in total cell abundance, indicating that the biomass gradient is controlled by cell size. Microscopy also showed shifts in diatom species throughout the area, C and chl a biomass estimates for the individual microalgae groups were strongly correlated for cryptophytes, chlorophytes and most diatoms, but did poorly for dinoflagellates, prymnesiophytes and chrysophytes. From this study, we conclude that both microscopy and chemotaxonomy can be used to accurately characterize phytoplankton assemblages, but some limitations are present in both techniques. Based on phytoplankton C concentrations, we estimated an average in situ growth rate of 0.28 d(-1). In situ cell C:chl a ratios had high variability (from 40 to 220) and were non-linearly related to sample growth rates. Significant differences were found among average C:chl a ratios of low (&lt;1 mug chl a l(-1)) and high biomass communities (&gt;1 mug chl a l(-1)), with values of 112 and 74 mug C mug(-1) chl a, respectively. In addition, our results support the hypothesis that C quotas of diatoms and other microalgae do not differ greatly from each other, as previously believed.</t>
  </si>
  <si>
    <t>Consejo Nacl Invest Cient &amp; Tecn, CRICyT, Inst Argentino Nivol Glaciol &amp; Ciencias Ambiental, RA-5500 Mendoza, Argentina; Univ Calif San Diego, Scripps Inst Oceanog, Div Marine Res, La Jolla, CA 92093 USA; Univ Nacl La Plata, Fac Ciencias Nat &amp; Museo, RA-1900 La Plata, Argentina</t>
  </si>
  <si>
    <t>Consejo Nacional de Investigaciones Cientificas y Tecnicas (CONICET); University of California System; University of California San Diego; Scripps Institution of Oceanography; National University of La Plata; Museo La Plata</t>
  </si>
  <si>
    <t>Consejo Nacl Invest Cient &amp; Tecn, CRICyT, Inst Argentino Nivol Glaciol &amp; Ciencias Ambiental, CC 330, RA-5500 Mendoza, Argentina.</t>
  </si>
  <si>
    <t>Kozlowski, Wendy Anne/0000-0001-6539-3798</t>
  </si>
  <si>
    <t>10.3354/meps247027</t>
  </si>
  <si>
    <t>651KH</t>
  </si>
  <si>
    <t>WOS:000181318700003</t>
  </si>
  <si>
    <t>Barnes, DKA</t>
  </si>
  <si>
    <t>Local, regional and global patterns of resource use in ecology: hermit crabs and gastropod shells as an example</t>
  </si>
  <si>
    <t>hermit crab; intertidal; resource use; shells; scale; West Indian ocean</t>
  </si>
  <si>
    <t>DIVERSITY GRADIENTS; INTERSPECIFIC COMPETITION; PAGURUS-LONGICARPUS; QUIRIMBA ISLAND; DECAPODA; ANOMURA; COEXISTENCE; MOZAMBIQUE; SELECTION; PREDATION</t>
  </si>
  <si>
    <t>To see the 'big pictures', it seems increasingly clear that experimental design, data collection and analyses of ecological investigation need to be at multiple scales. This causes problems with data complexity, sampling (level) and independence. Many ecological programmes are currently conducting multi-scale investigation of organismal trends (e.g. diversity). In this study, by contrast, the assemblages analysed were the resources used by animals (rather than animals per se). Variability in shell use was studied in 5 members of a taxon (hermit crabs) from global to site spatial levels. The novel adaptation of an existing technique used 1-factor, 3-level ANOVA of Bray-Curtis similarity values based on 'centroids' for each scale. Similarity in the number of shells used, the proportional usage of shell types, shell diversity and other variables were examined at site (&gt; 10 m apart), locality (&gt; 1 km apart) and region levels (&gt; 1000 km apart). There was significant variability amongst scales and between regions in shell use of all species. For some species, observed variability differed with location, while in others the trend was similar in all 3 regions. Between 18 and 3 shell types were used by different study species with diversity (Shannon H') values ranging from 2.54 to 0.1 and evenness values from 0.99 to 0.1. Shell use by hermit crabs was less similar (to each other) between regions than between the study hermit crab species. No significant spatial effects at any level were found on the proportion of damaged shells used by different species. The numbers of shell types used by hermit crabs had both a taxon-specific component and a global pattern. Data from the literature in combination with that from the present study showed Dardanus, Diogenes and Pagurus species used fewer shell types than Coenobita, Clibanarius and Calcinus species. No inter-oceanic patterns were evident in any genus. Shell numbers used by Clibanarius and Calcinus species both, however, exhibited distinct latitudinal clines. Adaptation of a novel technique has, thus, demonstrated global (and differential between scale) trends in resource use by a guild of animals, although interpretation of the mechanism or meaning underlying this is not straightforward.</t>
  </si>
  <si>
    <t>FRONTIER, London EC2A 4QS, England; Natl Univ Ireland Univ Coll Cork, Dept Zool &amp; Anim Ecol, Cork, Ireland</t>
  </si>
  <si>
    <t>University College Cork</t>
  </si>
  <si>
    <t>Barnes, DKA (corresponding author), British Antarctic Survey, Madingley Rd, Cambridge CB3 0ET, England.</t>
  </si>
  <si>
    <t>10.3354/meps246211</t>
  </si>
  <si>
    <t>647GM</t>
  </si>
  <si>
    <t>WOS:000181085100017</t>
  </si>
  <si>
    <t>Watson, C; Coleman, R; White, N; Church, J; Govind, R</t>
  </si>
  <si>
    <t>Watson, Christopher; Coleman, Richard; White, Neil; Church, John; Govind, Ramesh</t>
  </si>
  <si>
    <t>Absolute Calibration of TOPEX/Poseidon and Jason-1 Using GPS Buoys in Bass Strait, Australia</t>
  </si>
  <si>
    <t>MARINE GEODESY</t>
  </si>
  <si>
    <t>altimeter calibration; GPS buoy; kinematic GPS; Jason-1; TOPEX/Poseidon</t>
  </si>
  <si>
    <t>An absolute calibration of the TOPEX/Poseidon (T/P) and Jason-1 altimeters has been undertaken during the dedicated calibration phase of the Jason-1 mission, in Bass Strait, Australia. The present study incorporates several improvements to the earlier calibration methodology used for Bass Strait, namely the use of GPS buoys and the determination of absolute bias in a purely geometrical sense, without the necessity of estimating a marine geoid. This article focuses on technical issues surrounding the GPS buoy methodology for use in altimeter calibration studies. We present absolute bias estimates computed solely from the GPS buoy deployments and derive formal uncertainty estimates for bias calculation from a single overflight at the 40-45 mm level. Estimates of the absolute bias derived from the GPS buoys is -10 +/- 19 mm for T/P and + 147 +/- 21 mm for Jason-1 (MOE orbit) and +131 +/- 21 mm for Jason-1 (GPS orbit). Considering the estimated error budget, our bias values are equivalent to other determinations from the dedicated NASA and CNES calibration sites.</t>
  </si>
  <si>
    <t>[Watson, Christopher; Coleman, Richard] Univ Tasmania, Sch Geog &amp; Environm Studies, Ctr Spatial Informat Sci, Hobart, Tas 7001, Australia; [Coleman, Richard; White, Neil; Church, John] CSIRO Marine Res, Hobart, Tas, Australia; [Coleman, Richard; White, Neil; Church, John] Antarctic Climate &amp; Ecosyst CRC, Hobart, Tas, Australia; [Govind, Ramesh] Geosci Australia, Space Geodesy Anal Ctr, Belconnen, ACT, Australia</t>
  </si>
  <si>
    <t>University of Tasmania; Commonwealth Scientific &amp; Industrial Research Organisation (CSIRO); University of Tasmania; Geoscience Australia</t>
  </si>
  <si>
    <t>Watson, C (corresponding author), Univ Tasmania, Sch Geog &amp; Environm Studies, Ctr Spatial Informat Sci, Private Bag 76, Hobart, Tas 7001, Australia.</t>
  </si>
  <si>
    <t>cwatson@utas.edu.au</t>
  </si>
  <si>
    <t>Watson, Christopher S/D-4707-2013; White, Neil/B-2077-2013; Church, John A/A-1541-2012; Coleman, Richard/H-4425-2012</t>
  </si>
  <si>
    <t>Church, John A/0000-0002-7037-8194; Watson, Christopher/0000-0002-7464-4592; Coleman, Richard/0000-0002-9731-7498</t>
  </si>
  <si>
    <t>CSIRO Earth Observation Centre (EOC); Australian Postgraduate Award; CSIRO</t>
  </si>
  <si>
    <t>CSIRO Earth Observation Centre (EOC); Australian Postgraduate Award(Australian Government); CSIRO(Commonwealth Scientific &amp; Industrial Research Organisation (CSIRO))</t>
  </si>
  <si>
    <t>A range of people and organizations are to be thanked in relation to this project. The CSIRO Earth Observation Centre (EOC) provided funding for this experiment. The first author is supported by an Australian Postgraduate Award and CSIRO scholarship. Geoscience Australia maintains the data from the BUR1 GPS installation and also operates the Australian Regional GPS Network (ARGN). The National Tidal Facility (NTF) operates and maintains the Burnie tide gauge with the assistance from the Burnie Ports Corporation. Altimetry products were obtained from the Jet Propulsion Laboratory (JPL) PO. DAAC and Centre National d'Etudes Spatiales (CNES) AVISO archives. Bruce Haines, Phil Callahan, and other members of the TOPEX/Poseidon and Jason-1 SWT provided valuable responses to numerous technical questions. Chris Ruf and Shannon Brown (U. Michigan) provided the reprocessed JMR data whilst Sylvie Labroue (CLS) provided the Jason-1 SSB information. Comments by Pascal Bonnefond and an anonymous reviewer were appreciated in revising this manuscript. Finally, Michael and Bradley Hardy are thanked for their willing help and seamanship during the buoy deployment campaign.</t>
  </si>
  <si>
    <t>0149-0419</t>
  </si>
  <si>
    <t>1521-060X</t>
  </si>
  <si>
    <t>MAR GEOD</t>
  </si>
  <si>
    <t>Mar. Geod.</t>
  </si>
  <si>
    <t>10.1080/714044522</t>
  </si>
  <si>
    <t>Geochemistry &amp; Geophysics; Oceanography; Remote Sensing</t>
  </si>
  <si>
    <t>V23QD</t>
  </si>
  <si>
    <t>WOS:000208356400010</t>
  </si>
  <si>
    <t>Dubroca, L; Guinet, C; André, JM; Ben Mustapha, S; Lea, MA; Bonadonna, F</t>
  </si>
  <si>
    <t>Apex marine predator distribution in relationship with measured and modelled oceanographic parameters:: preliminary results on the Antarctic fur seal (Arctocephalus gazella) at Kerguelen Island and the fin whales (Balaenoptera physalus) in Mediterranean Sea</t>
  </si>
  <si>
    <t>MARQUAGE ELECTRONIQUE ET SUIVI TELEMETRIQUE DES GRANDS VERTEBRES MARINS MIGRATEURS</t>
  </si>
  <si>
    <t>marine predator; Austral Ocean; Mediterranean Sea; Arctocephalus gazella; Balaenoptera physalus; marine distribution; oceanographic parameters; teledetection; modelisation</t>
  </si>
  <si>
    <t>MEGANYCTIPHANES-NORVEGICA; EUPHAUSIA-SUPERBA; CRUSTACEA; ABUNDANCE; SEABIRDS; DYNAMICS; SUMMER; KRILL</t>
  </si>
  <si>
    <t>Study of relationships between apex marine predator distribution and oceanographic parameters uses wide and complementary skills: animal instrumentation, remote sensing and modelling. Activity recorder deployed on animal and at sea transects give information on the predator distribution. Concurrently, remote sensing and modelling lead to oceanographic parameters of the environment prospected by the predator. Confrontation of the both informations clarifies ecological and physical processes underlying the marine predator distribution. We illustrate this process with preliminary results of studies conducted on the Antarctic fur seal (Arctocephalus gazella) at Kerguelen Island and the fin whales (Balaenoptera physalus) in Mediterranean Sea.</t>
  </si>
  <si>
    <t>CNRS, Ctr Etud Biol Chize, F-79360 Villiers en Bois, France</t>
  </si>
  <si>
    <t>CNRS, Ctr Etud Biol Chize, BP 14, F-79360 Villiers en Bois, France.</t>
  </si>
  <si>
    <t>dubroca@cebc.cnrs.fr</t>
  </si>
  <si>
    <t>Guinet, Christophe/AAR-8457-2020; Bonadonna, Francesco/A-7456-2008; Lea, Mary-Anne/E-9054-2013</t>
  </si>
  <si>
    <t>Bonadonna, Francesco/0000-0002-2702-5801; Lea, Mary-Anne/0000-0001-8318-9299</t>
  </si>
  <si>
    <t>WOS:000186633500005</t>
  </si>
  <si>
    <t>Weber, I; Bischoff, A; Weber, D</t>
  </si>
  <si>
    <t>TEM investigations on the monomict ureilites Jalanash and Hammadah al Hamra 064</t>
  </si>
  <si>
    <t>METEORITICS &amp; PLANETARY SCIENCE</t>
  </si>
  <si>
    <t>TRANSMISSION ELECTRON-MICROSCOPE; ANTARCTIC UREILITES; NEBULAR PROCESSES; THERMAL HISTORY; ORIGIN; SHOCK; HAMMADAH-AL-HAMRA-064; MINERALOGY; EVOLUTION; PYROXENES</t>
  </si>
  <si>
    <t>We studied the petrography and mineralogy of two monomict ureilites, Hammadah al Hamra 064 (HH064) and Jalanash, by using reflected light and scanning electron microscopy. Quantitative analyses were performed by electron microprobe and the microstructures were investigated with transmission electron microscopy (TEM). HH064 features two different textures, a poikilitic and a typical one, whereas Jalanash shows only the typical ureilite texture. Our synergetic chemical and microstructural investigations reveal a complex cooling history for both ureilites. The temperature for the first equilibrium deduced from the pigeonite-augite assemblage in HH064 is similar to1200degreesC. The presence of antiphase domains in low-Ca pyroxenes proves that they are clearly pigeonite. The occurrences of tweed microstructure and orthopyroxene lamellae, which are incompletely developed, imply a faster cooling rate from the first equilibrium with a sudden end. Although both ureilites contain shock induced diamonds, dislocations in silicates are rare. This observation suggests that the meteorites were hot at the time of strong shock metamorphism or that they were heated after strong shock metamorphism. After this event, new microstructural features were generated by different cooling processes and were frozen by a final rapid decrease in temperature possibly due to excavation from the ureilite parent body, or bodies.</t>
  </si>
  <si>
    <t>Univ Munster, Inst Planetol, D-48149 Munster, Germany; Univ Munster, Interdisciplinary Ctr Electron Microscopy &amp; Micro, D-48149 Munster, Germany</t>
  </si>
  <si>
    <t>University of Munster; University of Munster</t>
  </si>
  <si>
    <t>Weber, I (corresponding author), Gemenweg 140, D-48149 Munster, Germany.</t>
  </si>
  <si>
    <t>METEORITICAL SOC</t>
  </si>
  <si>
    <t>FAYETTEVILLE</t>
  </si>
  <si>
    <t>DEPT CHEMISTRY/BIOCHEMISTRY, UNIV ARKANSAS, FAYETTEVILLE, AR 72701 USA</t>
  </si>
  <si>
    <t>1086-9379</t>
  </si>
  <si>
    <t>METEORIT PLANET SCI</t>
  </si>
  <si>
    <t>Meteorit. Planet. Sci.</t>
  </si>
  <si>
    <t>10.1111/j.1945-5100.2003.tb01051.x</t>
  </si>
  <si>
    <t>670AT</t>
  </si>
  <si>
    <t>WOS:000182385300010</t>
  </si>
  <si>
    <t>Braesicke, P; Jrrar, A; Hadjinicolaou, P; Pyle, J</t>
  </si>
  <si>
    <t>Variability of total ozone due to the NAO as represented in two different model systems</t>
  </si>
  <si>
    <t>METEOROLOGISCHE ZEITSCHRIFT</t>
  </si>
  <si>
    <t>NORTH-ATLANTIC OSCILLATION; ARCTIC OSCILLATION; CIRCULATION; WINTER; STRATOSPHERE; TROPOSPHERE; SIGNATURE; TRENDS</t>
  </si>
  <si>
    <t>To explain regional trends and long time variability of ozone the understanding and quantification of dynamical mechanisms influencing the zonal asymmetry of ozone is essential. Therefore we assess here the relationship between total ozone variability and the North Atlantic Oscillation (NAO), one of the dominant modes of variability in the European sector using two different model systems in conjunction with the same simplified ozone chemistry. One model is the Met Office Unified Model, which is a comprehensive general circulation model forced by prescribed sea-surface temperatures only. The other model is the chemistry-transport model SLIMCAT, which is driven by meteorological observations and therefore includes observed meteorological trends. The simplified ozone chemistry is based on the Cariolle scheme with an additional parameterization of polar ozone loss, but with no allowance for changing chlorine or aerosol levels. It is shown that the NAO signal in ozone during mid-winter is well represented in both model systems. Geopotential height correlations are used to explain the spatial pattern. It is demonstrated that composites of total ozone derived from the model integrations are capable of capturing the observed spatial characteristics as seen in TOMS data. Implications are drawn for NAO induced long time variability/regional trends of ozone.</t>
  </si>
  <si>
    <t>Univ Cambridge, Dept Chem, Ctr Atmospher Sci, Cambridge CB2 1EW, England; British Antarctic Survey, NERC, Ctr Atmospher Sci, Atmospher Modelling Support Unit, Cambridge CB3 0ET, England</t>
  </si>
  <si>
    <t>University of Cambridge; University of Cambridge; UK Research &amp; Innovation (UKRI); Natural Environment Research Council (NERC); NERC British Antarctic Survey</t>
  </si>
  <si>
    <t>Braesicke, P (corresponding author), Univ Cambridge, Dept Chem, Ctr Atmospher Sci, Lensfield Rd, Cambridge CB2 1EW, England.</t>
  </si>
  <si>
    <t>Braesicke, Peter/D-8330-2016; Hadjinicolaou, Panos/H-1729-2016</t>
  </si>
  <si>
    <t>Braesicke, Peter/0000-0003-1423-0619; Hadjinicolaou, Panos/0000-0003-1170-2182; Jrrar, Amna/0000-0002-3426-9783</t>
  </si>
  <si>
    <t>GEBRUDER BORNTRAEGER</t>
  </si>
  <si>
    <t>STUTTGART</t>
  </si>
  <si>
    <t>JOHANNESSTR 3A, D-70176 STUTTGART, GERMANY</t>
  </si>
  <si>
    <t>0941-2948</t>
  </si>
  <si>
    <t>METEOROL Z</t>
  </si>
  <si>
    <t>Meteorol. Z.</t>
  </si>
  <si>
    <t>10.1127/0941-2948/2003/0012-0203</t>
  </si>
  <si>
    <t>731DV</t>
  </si>
  <si>
    <t>WOS:000185870000003</t>
  </si>
  <si>
    <t>Klekociuk, AR; Lambert, MM; Vincent, RA; Dowdy, AJ</t>
  </si>
  <si>
    <t>Clemesha, B; Swenson, G</t>
  </si>
  <si>
    <t>First year of Rayleigh lidar measurements of middle atmosphere temperatures above Davis, Antarctica</t>
  </si>
  <si>
    <t>MIDDLE ATMOSPHERE STRUCTURE AND DYNAMICS</t>
  </si>
  <si>
    <t>ADVANCES IN SPACE RESEARCH</t>
  </si>
  <si>
    <t>COSPAR C2 1 Meeting on Middle Atmosphere Structure and Dynamics</t>
  </si>
  <si>
    <t>HOUSTON, TEXAS</t>
  </si>
  <si>
    <t>STATION</t>
  </si>
  <si>
    <t>We report,the first high spatial resolution measurements of the annual variation of temperatures in the stratosphere and lower mesosphere. obtained using lidar from a site near the Antarctic Circle. The observations were made using a zenith-oriented Rayleigh backscatter lidar on 77 days between February 2001 and March 2002 at Davis, Antarctica (68.6degreesS, 78.0degreesE). Daily average temperature profiles with 1km vertical resolution were retrieved using the standard Rayleigh inversion method. The lidar temperatures were validated through comparison with a variety of observational and model data which included radiosonde measurements, satellite profiles, and meterorological analyses at various altitudes between approximately 30km (the top of the stratospheric aerosol layer) and 60km. Comparison of the lidar temperatures with the MSISE-90 model revealed some significant differences. Between the stratopause and the upper limit of the measurements (65km), monthly average temperatures from March to June and during September were warmer than MSISE-90 by up to 20K. Comparison with previous lidar measurements at South Pole (Pan et al., 2002) and McMurdo (Di Donfrancesco et al., 1996) suggests that stratopause region temperatures near midwinter over Antarctica may be more uniform than predicted by the MSIS model. Between 30km altitude and the stratopause, average temperatures from December to March and during July were cooler than the model (by an average of 5K). The October and November averages were warmer than the model by up to 15K) below approximately 40km, and cooler than the model (by up to 10K) towards the stratopause. Temperature fluctuations associated with planetary wave activity were observed during late autumn (10K amplitude) and spring (up to 25K amplitude). The spring anomaly coincided with the development of a dominant zonal wavenumber 1 disturbance in the mid-stratosphere temperature field that was quasi-stationary in longitude near Davis. This feature appeared to have a vertical wavelength on the order of 50-60km. (C) 2003 Published by Elsevier Ltd on behalf of COSPAR.</t>
  </si>
  <si>
    <t>Australian Antarctic Div, Kingston, Tas 7050, Australia; Univ Adelaide, Dept Phys &amp; Math Phys, Adelaide, SA 5000, Australia</t>
  </si>
  <si>
    <t>Australian Antarctic Division; University of Adelaide</t>
  </si>
  <si>
    <t>Klekociuk, AR (corresponding author), Australian Antarctic Div, Channel Highway, Kingston, Tas 7050, Australia.</t>
  </si>
  <si>
    <t>Dowdy, Andrew/J-3414-2016; Klekociuk, Andrew R/A-4498-2015; Vincent, Robert A/E-5450-2013</t>
  </si>
  <si>
    <t>Dowdy, Andrew/0000-0003-0720-4471; Vincent, Robert A/0000-0001-6559-6544</t>
  </si>
  <si>
    <t>KIDLINGTON</t>
  </si>
  <si>
    <t>THE BOULEVARD, LANGFORD LANE,, KIDLINGTON OX5 1GB, OXFORD, ENGLAND</t>
  </si>
  <si>
    <t>0273-1177</t>
  </si>
  <si>
    <t>ADV SPACE RES</t>
  </si>
  <si>
    <t>10.1016/S0273-1177(03)00421-6</t>
  </si>
  <si>
    <t>Engineering, Aerospace; Astronomy &amp; Astrophysics; Geosciences, Multidisciplinary; Meteorology &amp; Atmospheric Sciences</t>
  </si>
  <si>
    <t>Engineering; Astronomy &amp; Astrophysics; Geology; Meteorology &amp; Atmospheric Sciences</t>
  </si>
  <si>
    <t>BY02E</t>
  </si>
  <si>
    <t>WOS:000187294000011</t>
  </si>
  <si>
    <t>Jiang, JH; Wu, DL; Eckermann, SD; Ma, J</t>
  </si>
  <si>
    <t>Mountain waves in the middle atmosphere: Microwave limb sounder observations and analyses</t>
  </si>
  <si>
    <t>GRAVITY-WAVES; MLS OBSERVATIONS; UARS MLS</t>
  </si>
  <si>
    <t>Observations and analyses of mesoscale gravity waves in the stratosphere from the Upper Atmosphere Research Satellite (UARS) Microwave Limb Sounder (MLS) are summarized, with focus on global distribution of topography related wave activities. We found most of the orographical wave activities occur during the winter seasons over high latitude mountain ridges. In the northern hemisphere, the strongest waves are those over Scandinavia, Central Eurasia, and southern Greenland, whereas in the southern hemisphere, wave activities are outstanding over the Andes, New Zealand, and Antarctic rim, MLS observations suggest that these orographic waves are located mostly on the down stream side of the mountain ridge with downward phase progression and have horizontal phase velocities opposite to the stratospheric jet-stream. Future studies using MLS data and numerical modeling will lead to better understanding of gravity wave effects on dynamics and chemistry in the middle atmosphere. (C) 2003 COSPAR. Published by Elsevier Ltd. All rights reserved.</t>
  </si>
  <si>
    <t>CALTECH, Jet Prop Lab, Pasadena, CA 91109 USA; USN, Res Lab, Middle Atmospher Dynam Sect, Washington, DC 20375 USA; Computat Phys Inc, Springfield, VA 22151 USA</t>
  </si>
  <si>
    <t>National Aeronautics &amp; Space Administration (NASA); NASA Jet Propulsion Laboratory (JPL); California Institute of Technology; United States Department of Defense; United States Navy; Naval Research Laboratory; Computational Physics Inc</t>
  </si>
  <si>
    <t>Jiang, JH (corresponding author), CALTECH, Jet Prop Lab, 4800 Oak Grove Dr, Pasadena, CA 91109 USA.</t>
  </si>
  <si>
    <t>Wu, Dong L/D-5375-2012</t>
  </si>
  <si>
    <t>Eckermann, Stephen/0000-0002-8534-1909</t>
  </si>
  <si>
    <t>10.1016/S0273-1177(03)00402-2</t>
  </si>
  <si>
    <t>WOS:000187294000015</t>
  </si>
  <si>
    <t>Ream, RA; Johns, GC; Somero, GN</t>
  </si>
  <si>
    <t>Base compositions of genes encoding α-actin and lactate dehydrogenase-A from differently adapted vertebrates show no temperature-adaptive variation in G+C content</t>
  </si>
  <si>
    <t>MOLECULAR BIOLOGY AND EVOLUTION</t>
  </si>
  <si>
    <t>vertebrate genome evolution; GC content; codon bias; temperature; alpha-actin; lactate dehydrogenase-A (ldh-a)</t>
  </si>
  <si>
    <t>COLD-BLOODED VERTEBRATES; EUKARYOTIC GENOMES; EVOLUTION; ORGANIZATION; PROKARYOTES; ISOCHORES</t>
  </si>
  <si>
    <t>There is a long-standing debate in molecular evolution concerning the putative importance of GC content in adapting the thermal stabilities of DNA and RNA. Most studies of this relationship have examined broad-scale compositional patterns, for example, total GC percentages in genomes and occurrence of GC-rich isochores. Few studies have systematically examined the GC contents of individual orthologous genes from differently thermally adapted species. When this has been done, the emphasis has been on comparing large numbers of genes in only a few species. We have approached the GC-adaptation temperature hypothesis in a different manner by examining patterns of base composition of genes encoding lactate dehydrogenase-A (ldh-a) and alpha-actin (alpha-actin) from 51 species of vertebrates whose adaptation temperatures ranged from -1.86degreesC (Antarctic fishes) to approximately 45degreesC (desert reptile). No significant positive correlation was found between any index of GC content (GC content of the entire sequence, GC content of the third codon position [GC(3)], and GC content at fourfold degenerate sites [GC(4)]) and any index of adaptation temperature (maximal, mean, or minimal body temperature). For alpha-actin, slopes of regression lines for all comparisons did not differ significantly from zero. For ldh-a, negative correlations between adaptation temperature and total GC content, GC3, and GC4 were observed but were shown to be due entirely to phylogenetic influences (as revealed by independent contrast analyses). This comparison of GC content across a wide range of ectothermic (cold-blooded) and endothermic (warm-blooded) vertebrates revealed that frogs of the genus Xenopus, which have commonly been used as a representative cold-blooded species, in fact are outliers among ectotherms for the alpha-actin analyses, raising concern about the appropriateness of choosing these amphibians as representative of ectothermic vertebrates in general. Our study indicates that, whereas GC contents of isochores may show variation among different classes of vertebrates, there is no consistent relationship between adaptation temperature and the percentage of thermal stability-enhancing G + C base pairs in protein-coding genes.</t>
  </si>
  <si>
    <t>Stanford Univ, Hopkins Marine Stn, Pacific Grove, CA 93950 USA</t>
  </si>
  <si>
    <t>Stanford University</t>
  </si>
  <si>
    <t>Ream, RA (corresponding author), Stanford Univ, Hopkins Marine Stn, Pacific Grove, CA 93950 USA.</t>
  </si>
  <si>
    <t>Somero, George/AAC-3321-2019</t>
  </si>
  <si>
    <t>Somero, George/0000-0003-1431-6455</t>
  </si>
  <si>
    <t>SOC MOLECULAR BIOLOGY EVOLUTION</t>
  </si>
  <si>
    <t>LAWRENCE</t>
  </si>
  <si>
    <t>PO BOX 1897, LAWRENCE, KS 66044-8897 USA</t>
  </si>
  <si>
    <t>0737-4038</t>
  </si>
  <si>
    <t>MOL BIOL EVOL</t>
  </si>
  <si>
    <t>Mol. Biol. Evol.</t>
  </si>
  <si>
    <t>10.1093/molbev/msg008</t>
  </si>
  <si>
    <t>632VG</t>
  </si>
  <si>
    <t>WOS:000180243700014</t>
  </si>
  <si>
    <t>Fatehi, J; Bridge, PD; Punithalingam, E</t>
  </si>
  <si>
    <t>Molecular relatedness within the Ascochyta pinodes-complex</t>
  </si>
  <si>
    <t>MYCOPATHOLOGIA</t>
  </si>
  <si>
    <t>Ascochyta; ITS sequences; mitochondrial DNA; molecular determination; Phoma</t>
  </si>
  <si>
    <t>MEDICAGINIS VAR PINODELLA; COMMON PARASITIC FUNGI; CROPS HERBAGE LEGUMES; SCIENTIFIC NAMES; PULSE LEGUMES; FIELD CROPS; DNA; PHOMA; PCR; DIFFERENTIATION</t>
  </si>
  <si>
    <t>The morphological, molecular and pathological characters of 34 isolates identified as Ascochyta pinodes, A. phaseolorum, and Phoma medicaginis var. pinodella were determined. Initial molecular findings, based on PCR fragment size and RFLPs of sections of the mitochondrial genome, the rRNA gene cluster and the beta-tubulin gene complex, were further investigated by sequencing of the total rRNA ITS regions. Isolates were homogenous for all characteristics determined, with the exception of conidial size and septation, and RFLPs of AT rich ( presumptive mitochondrial) DNA. The results suggest that the isolates represent host preferential forms of a single taxon, and this finding is discussed in relation to the known teleomorphs and reference material of the species studied.</t>
  </si>
  <si>
    <t>CABI Biosci, Egham TW20 9TY, Surrey, England; Swedish Univ Agr Sci, Plant Pathol &amp; Biocontrol Unit, S-75007 Uppsala, Sweden; Univ London Birkbeck Coll, Sch Biol &amp; Chem Sci, London WC1E 7HX, England; Royal Bot Gardens, Herbarium, Mycol Sect, Richmond TW9 3AB, Surrey, England</t>
  </si>
  <si>
    <t>Swedish University of Agricultural Sciences; University of London; Birkbeck University London; Royal Botanic Gardens, Kew</t>
  </si>
  <si>
    <t>Bridge, PD (corresponding author), British Antarctic Survey, Madingley Rd, Cambridge CB3 0ET, England.</t>
  </si>
  <si>
    <t>0301-486X</t>
  </si>
  <si>
    <t>Mycopathologia</t>
  </si>
  <si>
    <t>10.1023/B:MYCO.0000003573.37109.89</t>
  </si>
  <si>
    <t>Mycology</t>
  </si>
  <si>
    <t>744EM</t>
  </si>
  <si>
    <t>WOS:000186615000011</t>
  </si>
  <si>
    <t>Römisch, K; Matheson, T</t>
  </si>
  <si>
    <t>Cell biology in the Antarctic:: studying life in the freezer</t>
  </si>
  <si>
    <t>NATURE CELL BIOLOGY</t>
  </si>
  <si>
    <t>ANTIFREEZE PROTEINS; COLD-ADAPTATION; NOTOTHENIOID FISH; EVOLUTION; ENZYMES; PHYSIOLOGY; EXPRESSION; BINDING; YEAST; GENE</t>
  </si>
  <si>
    <t>Univ Cambridge, Cambridge Inst Med Res, Cambridge CB2 2XY, England; Univ Cambridge, Dept Clin Biochem, Cambridge CB2 2XY, England; Univ Cambridge, Dept Zool, Cambridge CB2 3EJ, England</t>
  </si>
  <si>
    <t>University of Cambridge; University of Cambridge; University of Cambridge</t>
  </si>
  <si>
    <t>Römisch, K (corresponding author), Univ Cambridge, Cambridge Inst Med Res, Hills Rd, Cambridge CB2 2XY, England.</t>
  </si>
  <si>
    <t>Romisch, Karin/0000-0003-0415-6558; Matheson, Thomas/0000-0002-6061-9038</t>
  </si>
  <si>
    <t>NATURE PUBLISHING GROUP</t>
  </si>
  <si>
    <t>MACMILLAN BUILDING, 4 CRINAN ST, LONDON N1 9XW, ENGLAND</t>
  </si>
  <si>
    <t>1465-7392</t>
  </si>
  <si>
    <t>NAT CELL BIOL</t>
  </si>
  <si>
    <t>Nat. Cell Biol.</t>
  </si>
  <si>
    <t>10.1038/ncb0103-3</t>
  </si>
  <si>
    <t>632LA</t>
  </si>
  <si>
    <t>WOS:000180223700002</t>
  </si>
  <si>
    <t>Riley, TR; Bailey, AK</t>
  </si>
  <si>
    <t>Barium-rich sanidine megacrysts from the West Eifel (Germany)</t>
  </si>
  <si>
    <t>NEUES JAHRBUCH FUR MINERALOGIE-MONATSHEFTE</t>
  </si>
  <si>
    <t>sanidine; megacryst; carbonatite; phonolite</t>
  </si>
  <si>
    <t>OCEANIC UPPER-MANTLE; SHOMBOLE VOLCANO; EAST-AFRICA; SILICA-RICH; CARBONATITE; XENOLITHS; MELTS; PHLOGOPITE; MINERALS; BENEATH</t>
  </si>
  <si>
    <t>Sanidine megacrysts are erupted together with syenitic and phonolitic debris in a Quaternary carbonatite diatreme located within the West Eifel volcanic field (Germany). The sanidines have a limited compositional range (Or(70-80)), which overlaps with that of sanidine phenocrysts from syenite and phonolite xenoliths from the same diatreme. The sanidines have BaO contents of c. 1 wt.%, low total REE, but large positive Eu anomalies (Eu/Eu* = 7.5 - 9.2). A contrast in xenocryst population between the carbonatite-phonolite diatreme and a neighbouring nephelinite volcano provides an insight into mineral stability regions. The key difference is sanidine from the carbonatite-phonolite diatreme and phlogopite from the nephelinite volcano. Both minerals are major potassic phases and have a significant Ba content. A subsolidus transition from phlogopite to feldspar stability is known to occur at around 25 kbar, indicating a maximum depth for the felsic rocks. Isotopically the felsic rocks are distinct from the nephelinite and carbonatite rocks and preclude a cogenetic relationship. Therefore the felsic rocks are thought to be derived either by interaction between lower crustal rocks and nephelinite, or they represent the crystallisation products of exotic silicic melts in the upper mantle.</t>
  </si>
  <si>
    <t>Univ Bristol, Dept Earth Sci, Bristol BS8 1RJ, Avon, England; British Antarctic Survey, NERC, Cambridge CB3 0ET, England</t>
  </si>
  <si>
    <t>University of Bristol; UK Research &amp; Innovation (UKRI); Natural Environment Research Council (NERC); NERC British Antarctic Survey</t>
  </si>
  <si>
    <t>Riley, TR (corresponding author), Univ Bristol, Dept Earth Sci, Wills Mem Bldg,Queens Rd, Bristol BS8 1RJ, Avon, England.</t>
  </si>
  <si>
    <t>E SCHWEIZERBARTSCHE VERLAGS</t>
  </si>
  <si>
    <t>NAEGELE U OBERMILLER JOHANNESSTRASSE 3A, D 70176 STUTTGART, GERMANY</t>
  </si>
  <si>
    <t>0028-3649</t>
  </si>
  <si>
    <t>NEUES JB MINER MONAT</t>
  </si>
  <si>
    <t>Neues Jahrb. Mineral.-Mon.hefte</t>
  </si>
  <si>
    <t>Mineralogy</t>
  </si>
  <si>
    <t>640UF</t>
  </si>
  <si>
    <t>WOS:000180705800002</t>
  </si>
  <si>
    <t>Leppäranta, M; Reinart, A; Erm, A; Arst, H; Hussainov, M; Sipelgas, L</t>
  </si>
  <si>
    <t>Investigation of ice and water properties and under-ice light fields in fresh and brackish water bodies</t>
  </si>
  <si>
    <t>NORDIC HYDROLOGY</t>
  </si>
  <si>
    <t>ANTARCTIC SEA-ICE; OPTICAL-PROPERTIES; IRRADIANCE; DEPENDENCE; COSINE; COVER; MODEL</t>
  </si>
  <si>
    <t>Light transmission through ice and light conditions beneath ice have been investigated in the mild winter of the year 2000 in eight Estonian lakes and in one brackish water basin, Santala Bay in the Gulf of Finland. A new system designed for optical measurements beneath the ice was successfully tested. In the water body the vertical profiles of photosynthetically active radiation (PAR), temperature and oxygen were mapped. The concentrations of optically active substances (dissolved organic matter, chlorophyll a, particles) were estimated for water samples and meltwater of ice samples. The PAR band albedo was 0.28-0.76 and transmittance was 1-52% for the ice/snow cover. The light field below ice was much more diffuse than in open water conditions. Euphotic depth was 0.1-5.5 m. The amount of yellow substance in lake ice is very small in comparison with the lake water; lake ice may contain a lot of particles, but their source is atmospheric fallout rather than the water body. In some lakes a depletion of oxygen was observed. There were considerable differences between the fresh and brackish water ice (structure, stratigraphy, amount of impurities), which influenced the underwater light field.</t>
  </si>
  <si>
    <t>Univ Helsinki, Div Geophys, FI-00014 Helsinki, Finland; Tallinn Univ Technol, Marine Syst Inst, EE-10137 Tallinn, Estonia</t>
  </si>
  <si>
    <t>University of Helsinki; Tallinn University of Technology</t>
  </si>
  <si>
    <t>Leppäranta, M (corresponding author), Univ Helsinki, Div Geophys, POB 64, FI-00014 Helsinki, Finland.</t>
  </si>
  <si>
    <t>Matti.Lepparanta@phnet.Fi; anu.reinart@ebc.uu.se; helarst@online.ee</t>
  </si>
  <si>
    <t>; Lepparanta, Matti/M-7507-2017</t>
  </si>
  <si>
    <t>Sipelgas, Liis/0000-0003-1751-9522; Lepparanta, Matti/0000-0002-4754-5564</t>
  </si>
  <si>
    <t>IWA PUBLISHING</t>
  </si>
  <si>
    <t>ALLIANCE HOUSE, 12 CAXTON ST, LONDON SW1H0QS, ENGLAND</t>
  </si>
  <si>
    <t>0029-1277</t>
  </si>
  <si>
    <t>NORD HYDROL</t>
  </si>
  <si>
    <t>Nord. Hydrol.</t>
  </si>
  <si>
    <t>Water Resources</t>
  </si>
  <si>
    <t>699DY</t>
  </si>
  <si>
    <t>WOS:000184041700006</t>
  </si>
  <si>
    <t>Decock, C; Ryvarden, L</t>
  </si>
  <si>
    <t>Studies in Perenniporia (Basidiomycetes, Perenniporiales) Pseudopiptoporus chocolatus comb. nov., a synonym of Perenniporia ahmadii, and a note on Pseudopiptoporus</t>
  </si>
  <si>
    <t>NOVA HEDWIGIA</t>
  </si>
  <si>
    <t>Buglossoporus; Microporellus; Polypores; Pseudopiptoporus; Ryvardenia; taxonomy</t>
  </si>
  <si>
    <t>ANTARCTIC PIPTOPORUS POLYPORACEAE; NEOTROPICAL POLYPORES</t>
  </si>
  <si>
    <t>The type specimens of Perenniporia ahmadii, Polyporus devians, and Polyporus chocolatus have been revised. Perenniporia ahmadii is accepted as a taxonomic synonym of R chocolatus and the latter is transferred to Pseudopiptoporus. The new combination Pseudopiptoporus chocolatus is proposed. The genus Pseudopiptoporus including P. devians and P chocolatus is redescribed and illustrated.</t>
  </si>
  <si>
    <t>Mycotheque Univ Catholique Louvain, Fac Sci Agron, MUCL, B-1348 Louvain, Belgium; Univ Oslo, Dept Bot, N-0316 Oslo, Norway</t>
  </si>
  <si>
    <t>Universite Catholique Louvain; University of Oslo</t>
  </si>
  <si>
    <t>Decock, C (corresponding author), Mycotheque Univ Catholique Louvain, Fac Sci Agron, MUCL, Pl Croix Sud 3, B-1348 Louvain, Belgium.</t>
  </si>
  <si>
    <t>0029-5035</t>
  </si>
  <si>
    <t>Nova Hedwigia</t>
  </si>
  <si>
    <t>10.1127/0029-5035/2003/0077-0199</t>
  </si>
  <si>
    <t>725UU</t>
  </si>
  <si>
    <t>WOS:000185561400015</t>
  </si>
  <si>
    <t>Ochyra, R</t>
  </si>
  <si>
    <t>Schistidium lewis-smithii (Bryopsida, Grimmiaceae) -: a new species from the maritime Antarctic, with a note on the Australian S. flexifolium</t>
  </si>
  <si>
    <t>MUSCI</t>
  </si>
  <si>
    <t>Schistidium lewis-smithii Ochyra is described as a new species from King George and Livingston Islands in the South Shetland Islands archipelago in the maritime Antarctic. It belongs within subgenus Canalicularia Ochyra and the diagnostic characters are the broadly canaliculate, decurrent leaves with erect to incurved leaf margins, elliptical costa in transverse section and gymnostomous capsules. The status of the Australian Schistidium flexifolium (Hampe) Ochyra is briefly discussed and S. aquaticum Ochyra from New Zealand is considered to be conspecific with it. A key to the species of subg. Canalicularia is given.</t>
  </si>
  <si>
    <t>Polish Acad Sci, Inst Bot, Lab Bryol, PL-31512 Krakow, Poland</t>
  </si>
  <si>
    <t>Polish Academy of Sciences</t>
  </si>
  <si>
    <t>Ochyra, R (corresponding author), Polish Acad Sci, Inst Bot, Lab Bryol, Ul Lubicz 46, PL-31512 Krakow, Poland.</t>
  </si>
  <si>
    <t>Ochyra, Ryszard/0000-0002-2541-0722</t>
  </si>
  <si>
    <t>2363-7188</t>
  </si>
  <si>
    <t>10.1127/0029-5035/2003/0077-0363</t>
  </si>
  <si>
    <t>755QU</t>
  </si>
  <si>
    <t>WOS:000187422500008</t>
  </si>
  <si>
    <t>Murota, T</t>
  </si>
  <si>
    <t>Stockner, JG</t>
  </si>
  <si>
    <t>The marine nutrient shadow: A global comparison of anadromous salmon fishery and guano occurence</t>
  </si>
  <si>
    <t>NUTRIENTS IN SALMONID ECOSYSTEMS: SUSTAINING PRODUCTION AND BIODIVERSITY</t>
  </si>
  <si>
    <t>American Fisheries Society Symposium</t>
  </si>
  <si>
    <t>Conference on Restoring Nutrients to Salmonid Ecosystems</t>
  </si>
  <si>
    <t>APR 24-26, 2001</t>
  </si>
  <si>
    <t>EUGENE, OR</t>
  </si>
  <si>
    <t>ONCORHYNCHUS-KISUTCH CARCASSES; PACIFIC SALMON; COHO SALMON; ATLANTIC SALMON; STABLE-ISOTOPES; SOCKEYE-SALMON; ORGANIC-MATTER; DECOMPOSITION; NITROGEN; FOREST</t>
  </si>
  <si>
    <t>While the ecology of seed dispersal has been widely studied, the ecology of nutrient dispersal has not. Growing concerns about loss of biodiversity has resulted in an increasing number of studies on anadromous fishes as vectors for uploading and dispersing marine nutrients into freshwater and terrestrial ecosystems through various pathways. As an outgrowth of the idea of Lindebroom (1984), who analyzed the penguin-derived animonia shadow over a vigorous plant growth on an Antarctic island, this paper develops the concept of the nutrient shadow as the geographical space on terrestrial land that is covered by marine nutrients, due primarily to anadromous fishes, especially Pacific salmon Oncorhynchus spp., and secondarily to other animals that have fed upon them. Here, I present a quantitative estimate of the relative position of anadromous salmon as vectors of marine nutrientupload-ing onto lands compared with those of marine fishery by human hands and of guano (sea birds' feces) occurrences as a final product of upwelling ecosystems. Then, I assess the extent of the nutrient shadow cast by spawning runs of salmon in view of the dynamics of nutrient condensation and dispersal (thinning) and conclude with some speculation about the vastness, albeit thin, of salmon-derived nutrient shadows over wild environments and the effects of anadromous salmon on fertilizing terrestrial ecosystems that may even be larger than those of marine fishery and guano occurrence, if we interpret such fertilization as the material basis for increasing biodiversity.</t>
  </si>
  <si>
    <t>Doshisha Univ, Dept Econ, Kyoto 6028580, Japan</t>
  </si>
  <si>
    <t>Doshisha University</t>
  </si>
  <si>
    <t>Murota, T (corresponding author), Doshisha Univ, Dept Econ, Kyoto 6028580, Japan.</t>
  </si>
  <si>
    <t>AMER FISHERIES SOC</t>
  </si>
  <si>
    <t>BETHESDA</t>
  </si>
  <si>
    <t>5410 GROSVENOR LANE, STE 110, BETHESDA, MD 20814-2199 USA</t>
  </si>
  <si>
    <t>0892-2284</t>
  </si>
  <si>
    <t>1-888569-44-1</t>
  </si>
  <si>
    <t>AM FISH S S</t>
  </si>
  <si>
    <t>Am. Fish. Soc. Symp.</t>
  </si>
  <si>
    <t>Biology; Ecology; Fisheries</t>
  </si>
  <si>
    <t>Life Sciences &amp; Biomedicine - Other Topics; Environmental Sciences &amp; Ecology; Fisheries</t>
  </si>
  <si>
    <t>BW31X</t>
  </si>
  <si>
    <t>WOS:000181552500002</t>
  </si>
  <si>
    <t>Foster, EG; Haward, M</t>
  </si>
  <si>
    <t>Integrated management councils - A conceptual model for ocean policy conflict management in Australia</t>
  </si>
  <si>
    <t>OCEAN &amp; COASTAL MANAGEMENT</t>
  </si>
  <si>
    <t>COASTAL MANAGEMENT; IMPLEMENTATION; FRAMEWORK</t>
  </si>
  <si>
    <t>Integrated management is a central theme of Australia's Oceans Policy (AOP). Improving integration across sectors and jurisdictions has been identified in a number of Australian initiatives in coastal and marine policy developed in the past decade. These initiatives include the Regional Marine Planning process under AOP undertaken in 2000-02 and commitments to a National Coastal Policy made in 2002. These initiatives have highlighted the need for institutional arrangements that address these two key dimensions of integration in the Australian marine environment. This paper reviews Australian initiatives in ocean and coastal policy and draws on lessons from Canadian experience to propose Integrated Management Councils as a 'way forward' for integrated and adaptive management focusing on the decentralization of power and community participation in the decision-making process. (C) 2003 Elsevier Science Ltd. All rights reserved.</t>
  </si>
  <si>
    <t>Univ Tasmania, Inst Antarctic &amp; So Ocean Studies, Hobart, Tas 7001, Australia; Univ Tasmania, Antarctic Cooperat Res Ctr, Hobart, Tas 7001, Australia</t>
  </si>
  <si>
    <t>Foster, EG (corresponding author), Univ Tasmania, Inst Antarctic &amp; So Ocean Studies, Private Bag 77, Hobart, Tas 7001, Australia.</t>
  </si>
  <si>
    <t>Haward, Marcus/G-3369-2014</t>
  </si>
  <si>
    <t>Haward, Marcus/0000-0003-4775-0864</t>
  </si>
  <si>
    <t>0964-5691</t>
  </si>
  <si>
    <t>OCEAN COAST MANAGE</t>
  </si>
  <si>
    <t>Ocean Coastal Manage.</t>
  </si>
  <si>
    <t>6-7</t>
  </si>
  <si>
    <t>10.1016/S0964-5691(03)00034-6</t>
  </si>
  <si>
    <t>Oceanography; Water Resources</t>
  </si>
  <si>
    <t>701BK</t>
  </si>
  <si>
    <t>WOS:000184145500004</t>
  </si>
  <si>
    <t>Marsland, SJ; Haak, H; Jungclaus, JH; Latif, M; Röske, F</t>
  </si>
  <si>
    <t>The Max-Planck-Institute global ocean/sea ice model with orthogonal curvilinear coordinates</t>
  </si>
  <si>
    <t>OCEAN MODELLING</t>
  </si>
  <si>
    <t>general circulation; ocean; sea ice; primitive equation; conformal mapping; global</t>
  </si>
  <si>
    <t>GENERAL-CIRCULATION MODEL; ANTARCTIC CIRCUMPOLAR CURRENT; DECADAL CLIMATE VARIABILITY; COUPLED GCM ECHO-2; SEA-ICE; NORTH-ATLANTIC; WATER; CONVECTION; PACIFIC; SURFACE</t>
  </si>
  <si>
    <t>The Hamburg Ocean Primitive Equation model has undergone significant development in recent years. Most notable is the treatment of horizontal discretisation which has undergone transition from a staggered E-grid to an orthogonal curvilinear C-grid. The treatment of subgridscale mixing has been improved by the inclusion of a new formulation of bottom boundary layer (BBL) slope convection, an isopycnal diffusion scheme, and a Gent and McWilliams style eddy-induced mixing parameterisation. The model setup described here has a north pole over Greenland and a south pole on the coast of the Weddell Sea. This gives relatively high resolution in the sinking regions associated with the thermohaline circulation. Results are presented from a 450 year climatologically forced integration. The forcing is a product of the German Ocean Model Intercomparison Project and is derived from the European Centre for Medium Range Weather Forecasting reanalysis. The main emphasis is on the model's representation of key quantities that are easily associated with the ocean's role in the global climate system. The global and Atlantic northward poleward heat transports have peaks of 1.43 and 0.84 PW, at 18degrees and 21degrees N respectively. The Atlantic meridional overturning streamfunction has a peak of 15.7 Sv in the North Atlantic and an outflow of 11.9 Sv at 30degrees S. Comparison with a simulation excluding BBL shows that the scheme is responsible for up to a 25% increase in North Atlantic heat transport, with significant improvement of the depths of convection in the Greenland, Labrador and Irminger Seas. Despite the improvements, comparison with observations shows the heat transport still to be too weak. Other outstanding problems include an incorrect Gulf Stream pathway, a too strong Antarctic Circumpolar Current, and a too weak renewal of Antarctic Intermediate Water. Nevertheless, the model has been coupled to the atmospheric GCM ECHAM5 and run successfully for over 250 years without any surface flux corrections. (C) 2002 Elsevier Science Ltd. All rights reserved.</t>
  </si>
  <si>
    <t>Max Planck Inst Meteorol, D-20146 Hamburg, Germany</t>
  </si>
  <si>
    <t>Max Planck Society</t>
  </si>
  <si>
    <t>Marsland, SJ (corresponding author), Max Planck Inst Meteorol, Bundesstr 55, D-20146 Hamburg, Germany.</t>
  </si>
  <si>
    <t>Marsland, Simon J/A-1453-2012; Latif, Mojib/C-2428-2016</t>
  </si>
  <si>
    <t>Marsland, Simon J/0000-0002-5664-5276; Latif, Mojib/0000-0003-1079-5604</t>
  </si>
  <si>
    <t>1463-5003</t>
  </si>
  <si>
    <t>OCEAN MODEL</t>
  </si>
  <si>
    <t>Ocean Model.</t>
  </si>
  <si>
    <t>PII S1463-5003(02)00015-X</t>
  </si>
  <si>
    <t>10.1016/S1463-5003(02)00015-X</t>
  </si>
  <si>
    <t>709LW</t>
  </si>
  <si>
    <t>WOS:000184627500001</t>
  </si>
  <si>
    <t>Beckmann, A; Goosse, H</t>
  </si>
  <si>
    <t>A parameterization of ice shelf-ocean interaction for climate models</t>
  </si>
  <si>
    <t>ice shelf melting; fresh water forcing; parameterization; climate models; Southern Ocean</t>
  </si>
  <si>
    <t>ANTARCTIC BOTTOM WATER; WEDDELL SEA; THERMOHALINE CIRCULATION; SOUTHERN; BENEATH</t>
  </si>
  <si>
    <t>Model results from a regional model (BRIOS) of the Southern Ocean that includes ice shelf cavities and the interaction between ocean and ice shelves are used to derive a simple parameterization for ice shelf melting and the corresponding fresh water flux in large-scale ocean climate models. The parameterization assumes that the heat loss and fresh water gain due to the ice shelves are proportional to the difference in freezing temperature at the ice shelf edge base and the oceanic temperature on the shelf/slope area of the adjacent ocean as well as an effective area of interaction. This area is proportional to the along-shelf width of ice shelf and an effective cross-shelf distance, which turns out to be rather uniform (5-15 km) for a variety of different ice shelves. The proposed parameterization is easy to implement and valid for a wide range of circumstances. An application of the proposed scheme in a global ice ocean model (CLIO) supports our hypothesis that it can be used successfully and improves both the ocean and sea ice component of the model. This parameterization should also be used in models of the climate system that include a coupling between an ice sheet and an oceanic component. (C) 2002 Elsevier Science Ltd. All rights reserved.</t>
  </si>
  <si>
    <t>Alfred Wegener Inst Polar &amp; Marine Res, D-2757 Bremerhaven, Germany; Catholic Univ Louvain, Inst Astron &amp; Geofis G Lemaitre, B-1348 Louvain, Belgium</t>
  </si>
  <si>
    <t>Helmholtz Association; Alfred Wegener Institute, Helmholtz Centre for Polar &amp; Marine Research; Universite Catholique Louvain</t>
  </si>
  <si>
    <t>Alfred Wegener Inst Polar &amp; Marine Res, Handelshafen 12, D-2757 Bremerhaven, Germany.</t>
  </si>
  <si>
    <t>beckmann@awi-bremerhaven.de</t>
  </si>
  <si>
    <t>1463-5011</t>
  </si>
  <si>
    <t>PII S1463-5003(02)00019-7</t>
  </si>
  <si>
    <t>10.1016/S1463-5003(02)00019-7</t>
  </si>
  <si>
    <t>WOS:000184627500003</t>
  </si>
  <si>
    <t>Lee, MM; Coward, A</t>
  </si>
  <si>
    <t>Eddy mass transport for the Southern Ocean in an eddy-permitting global ocean model</t>
  </si>
  <si>
    <t>eddy transport; residual streamfunction; across-streamline transport; deacon cell</t>
  </si>
  <si>
    <t>ANTARCTIC CIRCUMPOLAR CURRENT; DEACON CELL; CIRCULATION; DYNAMICS</t>
  </si>
  <si>
    <t>The eddy-induced mass transport is diagnosed for the Southern Ocean in an eddy-permitting global ocean model (OCCAM). The focus is on the transport by transient eddies in the deep ocean. The transport streamfunction is calculated in four different combinations of coordinate system. Depending on the coordinate system employed, the strength of transient eddy transport varies from 6 Sv meridional transport in latitude-density coordinates to 20 Sv across-stream line transport in streamline-depth coordinates. It is shown that transient eddies as well as standing eddies are necessary for cancelling the Deacon cell. In the Antarctic bottom water density layer, the major contribution of the transient eddies towards net equatorward transport occurs (a) as a strong transport over the narrow Drake Passage and (b) as a weaker but systematic transport over a broader region in the southeast Pacific where the Antarctic circumpolar current breaks up into multiple jets. In contrast, in the North Atlantic deep water density layer the net poleward eddy transport is spread out almost everywhere. This suggests that attention to eddies should not be restricted to places where the eddy transport has large magnitude. (C) 2002 Elsevier Science Ltd. All rights reserved.</t>
  </si>
  <si>
    <t>Southampton Oceanog Ctr, James Rennell Div, Southampton SO14 3ZH, Hants, England</t>
  </si>
  <si>
    <t>NERC National Oceanography Centre; University of Southampton</t>
  </si>
  <si>
    <t>Lee, MM (corresponding author), Southampton Oceanog Ctr, James Rennell Div, Southampton SO14 3ZH, Hants, England.</t>
  </si>
  <si>
    <t>PII S1463-5003(02)00044-6</t>
  </si>
  <si>
    <t>10.1016/S1463-5003(02)00044-6</t>
  </si>
  <si>
    <t>709LX</t>
  </si>
  <si>
    <t>WOS:000184627600004</t>
  </si>
  <si>
    <t>Zhao, YH; Liu, AK</t>
  </si>
  <si>
    <t>Frouin, RJ; Gilbert, GD; Pan, D</t>
  </si>
  <si>
    <t>Applications of sea ice motion and deformation derived from satellite data</t>
  </si>
  <si>
    <t>OCEAN REMOTE SENSING AND IMAGING II</t>
  </si>
  <si>
    <t>Conference on Ocean Remote Sensing and Imaging II</t>
  </si>
  <si>
    <t>AUG 05-06, 2003</t>
  </si>
  <si>
    <t>sea ice motion; sea ice deformation; satellite data; remote sensing; wavelet analysis; principal component analysis; and Arctic Oscillation</t>
  </si>
  <si>
    <t>WAVELET ANALYSIS; DRIFT; SSM/I; BUOY</t>
  </si>
  <si>
    <t>QuikSCAT backscatter, AMSR-E and DMSP SSM/I radiance data have been used to derive sea ice motion for both the Arctic and Antarctic region using the wavelet analysis tracking method. All results from QuikSCAT, AMSR-E and SSM/I in the Arctic for fall/winter period are compatible with buoys and can then be merged by some data fusion methods to generate composite sea ice motion maps for more complete coverage. Furthermore, based on this merged data set, daily sea ice deformation (divergence and maximum shear) maps have been produced and show consistent spatial and temporal patterns. For summer ice, in order to focus the tracking templates in time, descending data are separated from ascending data during pre-processing. Due to the high resolution of AMSR-E 89 GHz data, sea ice motion maps from AMSR-E 89 GHz descending and ascending data are complementary each other, and sea ice drift in summer has been derived by merging results from descending with ascending data for composite daily sea ice motion maps. The general circulation pattern of the derived summer sea ice drift agrees with buoy data. In this study, principal component analysis of both the merged ice tracking result from satellite data and pressure field from buoy have also been examined for the relationship between the principal components and eigenvectors from these two data sets. While the result shows that principal components of modes 1 and 2 from two data sets are highly correlated, which confirms that wind forcing is a major factor driving the ice drift, it also reveals that other high energy modes are not highly correlated, which may be caused by coastal effects. Principal component analysis of Arctic sea ice motion during fall/winter period in different years shows that the reverse of dominant modes or patterns is related to the Arctic Oscillation.</t>
  </si>
  <si>
    <t>Caelum Res Corp, Rockville, MD 20805 USA</t>
  </si>
  <si>
    <t>Zhao, YH (corresponding author), Caelum Res Corp, 1700 Res Blvd, Rockville, MD 20805 USA.</t>
  </si>
  <si>
    <t>0-8194-5028-6</t>
  </si>
  <si>
    <t>10.1117/12.504764</t>
  </si>
  <si>
    <t>Oceanography; Remote Sensing; Optics; Imaging Science &amp; Photographic Technology</t>
  </si>
  <si>
    <t>BX98G</t>
  </si>
  <si>
    <t>WOS:000187120200025</t>
  </si>
  <si>
    <t>Clarke, A; Johnston, NM</t>
  </si>
  <si>
    <t>Gibson, RN; Atkinson, RJA</t>
  </si>
  <si>
    <t>Antarctic marine benthic diversity</t>
  </si>
  <si>
    <t>OCEANOGRAPHY AND MARINE BIOLOGY, VOL 41</t>
  </si>
  <si>
    <t>Oceanography and Marine Biology</t>
  </si>
  <si>
    <t>TERRA-NOVA BAY; SOUTH-SHETLAND ISLANDS; KING-GEORGE-ISLAND; DEEP-SEA; WEDDELL SEA; ROSS SEA; SPECIES-DIVERSITY; BRANSFIELD STRAIT; OSWALDELLA STECHOW; LIVINGSTON ISLAND</t>
  </si>
  <si>
    <t>Species lists have been compiled for all the major groups of Southern Ocean benthic marine invertebrates, eliminating synonymies where possible and providing a subjective estimate of completeness and reliability for each group. Antarctic marine diversity (pelagic and benthic) is relatively high at the phylum and class level, with the gaps mostly comprising minor, meiofaunal or parasitic groups. Most benthic diversity data come from the continental shelves, with relatively few samples from deeper water. Even for the continental shelves, however, sampling is highly patchy with some areas hardly investigated at all. Over 4100 benthic species have been reported from the Southern Ocean, with the most speciose groups being polychaetes, gastropods and amphipods. Comparison with tropical and temperate regions suggest that decapods, bivalves and teleost fishes are poorly represented in the Southern Ocean benthic marine fauna, whereas pycnogonids, echinoderms and many suspension feeding groups are rich and diverse. Some groups that are currently low in diversity were previously well represented in the Antarctic shallow water marine fauna, notably decapods and many fishes. Other groups have undergone marked radiations in the Southern Ocean, including pycnogonids, amphipods, isopods and teleost fishes; in all cases, however, it is only some lineages that have diversified. This indicates that evolutionary questions concerning the origin, diversification or extinction of the Southern Ocean marine fauna will have no single answer; the evolutionary history of each group appears to reflect a different response to the tectonic, climatic and oceanographic changes to which they have been subject through history. The disposition of southern hemisphere continents makes it difficult to assess whether there is a latitudinal cline in shallow-water marine diversity to mirror that known from the northern hemisphere. Within Antarctica, many species appear to have circumpolar distributions, and the long established biogeographical division into continental Antarctic, Antarctic Peninsula and sub-Antarctic regions have not been challenged by recent sampling. For most groups the frequency distribution of species per genus ratios is typical, though none is well described by the predictions from current evolutionary or null models. Where data are available, size spectra indicate that many Southern Ocean taxa are small, a few spectacular examples of gigantism notwithstanding, and species abundance plots are normal. Knowledge of the Southern Ocean benthic marine fauna has reached a stage where we can now ask powerful evolutionary questions, and the development of new molecular techniques provides the mechanism for answering them.</t>
  </si>
  <si>
    <t>British Antarctic Survey, Cambridge CB3 0ET, England</t>
  </si>
  <si>
    <t>British Antarctic Survey, High Cross,Madingley Rd, Cambridge CB3 0ET, England.</t>
  </si>
  <si>
    <t>accl@bas.ac.uk</t>
  </si>
  <si>
    <t>11 NEW FETTER LANE, LONDON EC4P 4EE, ENGLAND</t>
  </si>
  <si>
    <t>0078-3218</t>
  </si>
  <si>
    <t>0-415-25463-9</t>
  </si>
  <si>
    <t>OCEANOGR MAR BIOL</t>
  </si>
  <si>
    <t>Oceanogr. Mar. Biol.</t>
  </si>
  <si>
    <t>BX41L</t>
  </si>
  <si>
    <t>WOS:000185182700002</t>
  </si>
  <si>
    <t>Koshlyakov, MN; Tarakanov, RY</t>
  </si>
  <si>
    <t>Antarctic Bottom Water in the Pacific sector of the Southern Ocean</t>
  </si>
  <si>
    <t>OCEANOLOGY</t>
  </si>
  <si>
    <t>MASSES</t>
  </si>
  <si>
    <t>The Atlantic-Antarctic Bottom Water (AABW) mainly formed in the Weddell Sea and the Pacific-Antarctic Bottom Water (PABW) formed off George V Coast in the western and eastern Ross Sea in the Pacific Ocean can be distinguished by the difference in the potential temperatures and concentrations of dissolved oxygen and silicates. The location of the boundaries of the AABW and PABW in the Pacific sector of the Southern Ocean is determined from the data of hydrophysical sections carried out under the auspices of the WOCE program and the WOCE climatic database. The methods used are based on the assumptions that the water propagation is quasi-uniform and quasi-isopycnal. The relative intensity of the PABW sources is assessed. The directions of transport of the AABW and PABW are revealed. The extreme and mean values of their physical and chemical characteristics are determined. The suggestion that the South Pacific and East Pacific rises confine the spreading of the Antarctic bottom water in the Pacific Ocean from the north is supported.</t>
  </si>
  <si>
    <t>Russian Acad Sci, PP Shirshov Oceanol Inst, Moscow, Russia</t>
  </si>
  <si>
    <t>Russian Academy of Sciences; Shirshov Institute of Oceanology</t>
  </si>
  <si>
    <t>Koshlyakov, MN (corresponding author), Russian Acad Sci, PP Shirshov Oceanol Inst, Moscow, Russia.</t>
  </si>
  <si>
    <t>Tarakanov, Roman/R-3325-2016</t>
  </si>
  <si>
    <t>Tarakanov, Roman/0000-0002-8711-1859</t>
  </si>
  <si>
    <t>MAIK NAUKA/INTERPERIODICA/SPRINGER</t>
  </si>
  <si>
    <t>233 SPRING ST, NEW YORK, NY 10013-1578 USA</t>
  </si>
  <si>
    <t>0001-4370</t>
  </si>
  <si>
    <t>1531-8508</t>
  </si>
  <si>
    <t>OCEANOLOGY+</t>
  </si>
  <si>
    <t>Oceanology</t>
  </si>
  <si>
    <t>651NF</t>
  </si>
  <si>
    <t>WOS:000181325500001</t>
  </si>
  <si>
    <t>Fujioka, K; Okumura, S; Sueyoshi, S; Tokunaga, W; Imai, Y; Nagahama, N; Okumura, S; Maeno, K; Kimura, R; Adachi, K; Takao, K; Saito, C; Takizawa, T</t>
  </si>
  <si>
    <t>IEEE; IEEE</t>
  </si>
  <si>
    <t>R/V Mirai, her missions, facilities and special project BEAGLE 2003</t>
  </si>
  <si>
    <t>OCEANS 2003 MTS/IEEE: CELEBRATING THE PAST...TEAMING TOWARD THE FUTURE</t>
  </si>
  <si>
    <t>MTS/IEEE Conference on Celebrating the Past - Teaming Toward the Future</t>
  </si>
  <si>
    <t>SEP 22-26, 2003</t>
  </si>
  <si>
    <t>San Diego, CA</t>
  </si>
  <si>
    <t>The R/V Mirai, with its large ice-strenghtened sturdy hull, was launched in 1997 (Dimension; Lx B x D = 128.58 in x 19 in x 13.2 m; 8,687 Gross tons). The ship, in particular, with its large size and its anti-rolling device of special design, is capable of undertaking missions to high latitude and Polar Regions exposed to the extremely harsh weather and sea conditions. The ship is equipped with many state-of-the art oceanographic and marine meteorological instruments and is expected to act as a floating platform for sophisticated interdisciplinary researches, emphasizing on global change. One advantage of Mirai is that highly trained marine technicians with many observation and data analysis devices support the scientists onboard This arrangement allows the scientisis to develop onboard research results efficiently. The missions of Mirai include making dear the Me of the oceans on heat transport, material cycle and marine ecosystems as well as seafloor plate dynamics. The R/V Mirai surveyed vast sea areas ranging from die Arctic Ocean. the Pacific Ocean to the eastern tropical Indian Ocean during 1997 to 2003 Ibis year we will have a round world trip survey mainly in the southern hemisphere called BEAGLE 2003 cruise after Charles Darwin's voyage of Beagle. The RN Mirai will start from Brisbane and end Fremantle, Australia via Papeete (Tahiti) Valpareiso (Chili), Santos (Brazil), Cape Town (South Africa), Tamatave (Madagascar) and Prot Luis (Mauritius). The BEAGLE muse will focus on the studies of three main theme: the heat and material transports and their variability in the general ocean circulation, the basin-scale biogeochemical changes of the chemical properties and chemical interaction between air and sea water, and the paleo-environmental changes in the ocean. The cruise is designed to revisit WOCE (World Oman Circulation Experiment) Hydrographic Program (WHP) lines in the southern hemisphere to detect the long term change in the hydrographic structure and the Antarctic overturn by surveying WHIP fines in the Pacific, the Atlantic and the Indian at one cruise. Ibis southern hemisphere circum navigation was highlighted at POGO (Partnership Of Global Observation)-3 (December 2002) as a following up actions of San Paulo Declaration announced by POGO-2 (January 2001) that encourages and promotes both oceanographic studies and scientific capacity building in the southern hemisphere. It is expected that many oversea scientists and young trainee will be onboard as well as Japanese scientists.</t>
  </si>
  <si>
    <t>MARINE TECHNOLOGY SOC</t>
  </si>
  <si>
    <t>1828 L ST NW,SUITE 906, WASHINGTON, DC 20035 USA</t>
  </si>
  <si>
    <t>0-933957-30-0</t>
  </si>
  <si>
    <t>BAB11</t>
  </si>
  <si>
    <t>WOS:000221420300132</t>
  </si>
  <si>
    <t>Sirovic, A; Hildebrand, JA; Wiggins, SM; Moore, SE; McDonald, MA; Thiele, D</t>
  </si>
  <si>
    <t>Seasonality of blue and fin whale calls west of the Antarctic Peninsula</t>
  </si>
  <si>
    <t>The calling seasonality of blue (Balaenoptera musculus) and fin (B. physalus) whales was assessed using acoustic data recorded on seven autonomous Acoustic Recording Packages (ARPs) deployed from March 2001 to February 2003 west of the Antarctic Peninsula. A minimum of 258,706 blue and 72,194 fin whale calls were detected. Blue whales were present year round and their calls were detected 177 days/year on average. Peak calling occurred in March and April, with a secondary peak in October and November. Calling was lowest between June and September, and in December. Calling fin whales were present between February and June (on the average 51 days/year), with peak calling in May. Sea ice concentrations were determined from the Special Sensor Microwave / Imager passive microwave data available through 31 December 2002. Sea ice generally formed a month later and retreated a month earlier in 2001 than in 2002 over all sites. During the entire deployment period, detected calls of both species of whales showed negative correlation with sea ice concentrations. Also, there appeared to be a northeast-southwest movement of calling whales along the continental shelf break, which could correspond to prey movement.</t>
  </si>
  <si>
    <t>Sirovic, A (corresponding author), Univ Calif San Diego, Scripps Inst Oceanog, La Jolla, CA 92093 USA.</t>
  </si>
  <si>
    <t>Moore, Sue E/M-2103-2018; Hildebrand, John A/ABA-6213-2022</t>
  </si>
  <si>
    <t>Hildebrand, John A/0000-0002-5418-9799</t>
  </si>
  <si>
    <t>WOS:000221420300186</t>
  </si>
  <si>
    <t>Farrell, JA; Li, W; Pang, S; Arrieta, R</t>
  </si>
  <si>
    <t>Chemical plume tracing experimental results with a REMUS AUV</t>
  </si>
  <si>
    <t>autonomous vehicles; behavior based planning; chemical plume tracing</t>
  </si>
  <si>
    <t>ODOR PLUMES; MOBILE ROBOT; UNKNOWN ENVIRONMENTS; ORIENTATION; BEHAVIOR; SYSTEM; PHEROMONE; TRACKING; SENSORS; LOBSTER</t>
  </si>
  <si>
    <t>Olfactory-based mechanisms have been hypothesized for biological behaviors including foraging, mate-seeking, homing, and host-seeking. Typically, olfactory-based mechanisms proposed for biological entities combine a large-scale orientation behavior based in part on olfaction with a multisensor local search in the vicinity of the source. Long-range olfactory based search is documented in moths at ranges of 100-1000 m and in Antarctic procellariiform sea-birds over thousands of kilometers. Autonomous underwater vehicles (AUVs) capable of such chemical plume tracing feats would have applicability in searching for environmentally interesting phenomena, unexploded ordinance, undersea wreckage, and sources of hazardous chemicals or pollutants. This article presents an approach and experimental results using a REMUS AUV to find a chemical plume, trace the chemical plume to its source, and maneuver to reliably declare the source location. The experiments were conducted in November 2002 at San Clemente Island, California using a plume of Rhodamine dye developed in a turbulent fluid flow (i.e., near shore ocean conditions).</t>
  </si>
  <si>
    <t>Univ Calif Riverside, Dept Elect Engn, Riverside, CA 92521 USA</t>
  </si>
  <si>
    <t>University of California System; University of California Riverside</t>
  </si>
  <si>
    <t>Univ Calif Riverside, Dept Elect Engn, Riverside, CA 92521 USA.</t>
  </si>
  <si>
    <t>farrell@ee.ucr.edu; wli@cs.csubak.edu; spang@ee.ucr.edu; arrieta@spawar.navy.mil</t>
  </si>
  <si>
    <t>Li, Wei/R-7928-2019; Farrell, Jay A./A-6887-2017</t>
  </si>
  <si>
    <t>Farrell, Jay A./0000-0002-2077-8691</t>
  </si>
  <si>
    <t>10.1109/OCEANS.2003.178458</t>
  </si>
  <si>
    <t>WOS:000221420300221</t>
  </si>
  <si>
    <t>Sutherland, D; Cenedese, C</t>
  </si>
  <si>
    <t>The role of eddies in a laboratory study of the Antarctic Circumpolar Current</t>
  </si>
  <si>
    <t>STRATIFICATION; ACC</t>
  </si>
  <si>
    <t>The Antarctic Circumpolar Current (ACC) is an eastward flowing current that transports on average 134 Sv around the Southern Ocean, dominating the dynamics of the region. Westerly winds drive the ACC, which roughly follows the path of the maximum westerlies at this latitude, as well as a geostrophic flow component set up by the presence of the Antarctic Polar Front (APF). The APF, characterized by strong density gradients, releases potential energy through baroclinic instabilities that cast off eddies poleward. We investigate the behavior of these instabilities, or eddies, in a laboratory setting by reproducing an idealized ACC system through a combination of mechanical and buoyancy forcing applied in a rotating cylindrical tank. We find that the eddies generated by the baroclinic instability of the buoyant current are important in setting the final stratification of the circumpolar front by determining the depth of penetration and strength of the current at equilibrium. We discuss the implications of our laboratory findings for understanding those processes that contribute to setting the stratification and transport in the ACC.</t>
  </si>
  <si>
    <t>Woods Hole Oceanog Inst, Woods Hole, MA 02543 USA</t>
  </si>
  <si>
    <t>Woods Hole Oceanographic Institution</t>
  </si>
  <si>
    <t>Sutherland, D (corresponding author), Woods Hole Oceanog Inst, 360 Woods Hole Rd,MS 21, Woods Hole, MA 02543 USA.</t>
  </si>
  <si>
    <t>WOS:000221420300650</t>
  </si>
  <si>
    <t>Stern, CR; De Wit, MJ</t>
  </si>
  <si>
    <t>Dilek, Y; Robinson, PT</t>
  </si>
  <si>
    <t>Rocas Verdes ophiolites, southernmost South America: Remnants of progressive stages of development of oceanic-type crust in a continental margin back-arc basin</t>
  </si>
  <si>
    <t>OPHIOLITES IN EARTH HISTORY</t>
  </si>
  <si>
    <t>Fall Meeting of the American-Geophysical-Union</t>
  </si>
  <si>
    <t>DEC 10-14, 2001</t>
  </si>
  <si>
    <t>SAN FRANCISCO, CA</t>
  </si>
  <si>
    <t>TIERRA-DEL-FUEGO; AIKE VOLCANIC FIELD; NORTH-SCOTIA-RIDGE; GONDWANA BREAK-UP; CHILEAN OPHIOLITES; CORDILLERA-DARWIN; TECTONIC EVOLUTION; CORE COMPLEX; STRUCTURAL EVOLUTION; ANTARCTIC PENINSULA</t>
  </si>
  <si>
    <t>The Mesozoic Rocas Verdes are a group of mafic igneous complexes in the southernmost Andes. They consist of pillow lavas, dykes and gabbros, interpreted as the upper parts of ophiolites formed along mid-occan-ridge-type spreading centres that rifted the southwestern margin of the Gondwana continental crust, during the onset of spreading in the South Atlantic, to form the mafic igneous part of the floor of a back-are basin behind a contemporaneous convergent plate boundary magmatic arc. Mafic dykes and gabbros intrude older continental lithologies along both flanks of the Rocas Verdes, and these same leucocratic country rocks are engulfed in the Rocas Verdes mafic complexes. These relations indicate that the Rocas Verdes ophiolites formed in place and are autochthonous. Zircon U/Pb ages, as well as both chemical and lithostructural characteristics of these ophiolite complexes, suggest that the Rocas Verdes basin formed by ' unzipping ' from the south to the north, with the southern part beginning to form earlier, and developing more extensively, than the northern part of the basin. The Rocas Verdes ophiolites contain a wealth of information about progressive stages of continental rifting during back-arc basin formation, magmatic and metamorphic processes along mid-ocean-ridge-type spreading centres, and as analogues to Archaean greenstone belts.</t>
  </si>
  <si>
    <t>Univ Colorado, Dept Geol Sci, Boulder, CO 80309 USA</t>
  </si>
  <si>
    <t>Univ Colorado, Dept Geol Sci, Boulder, CO 80309 USA.</t>
  </si>
  <si>
    <t>Charles.Stern@colorado.edu</t>
  </si>
  <si>
    <t>1-86239-145-9</t>
  </si>
  <si>
    <t>10.1144/GSL.SP.2003.218.01.32</t>
  </si>
  <si>
    <t>BBW96</t>
  </si>
  <si>
    <t>WOS:000228181600032</t>
  </si>
  <si>
    <t>Trepte, QZ; Minnis, P; Arduini, RF</t>
  </si>
  <si>
    <t>Huang, HL; Lu, D; Sasano, Y</t>
  </si>
  <si>
    <t>Daytime and nighttime polar cloud and snow identification using MODIS data</t>
  </si>
  <si>
    <t>OPTICAL REMOTE SENSING OF THE ATMOSPHERE AND CLOUDS III</t>
  </si>
  <si>
    <t>Conference on Optical Remote Sensing of the Atmosphere and Clouds III</t>
  </si>
  <si>
    <t>OCT 25-27, 2002</t>
  </si>
  <si>
    <t>HANGZHOU, PEOPLES R CHINA</t>
  </si>
  <si>
    <t>MODIS; snow reflectance; polar cloud mask; near-infrared; Arctic; Antarctica; CERES; clouds</t>
  </si>
  <si>
    <t>CIRRUS</t>
  </si>
  <si>
    <t>The Moderate Resolution Imaging Spectroradiometer (MODIS) on Terra, with its high horizontal resolution and frequent sampling over Arctic and Antarctic regions, provides unique data sets to study clouds and the surface energy balance over snow and ice surfaces. This paper describes a polar cloud mask using MODIS data. The daytime cloud and snow identification methods were developed using theoretical snow bi-directional reflectance models for the MODIS 1.6 and 3.75-mum channels. The model-based polar cloud mask minimizes the need for empirically adjusting the thresholds for a given set of conditions and reduces the error accrued from using single-value thresholds. During night, the MODIS brightness temperature differences (BTD) for 3.75 - 11, 3.75 - 12, 8.55 - 11, and 6.7 - mum are used to detect clouds while snow and ice maps are used to determine snow and ice surfaces. At twilight, the combination of the 1.6-mum reflectance and the 3.75 - 11-mum BTD are used to detect clouds. Examples of the cloud mask results from daytime, nighttime, and twilight data show good agreement with visual interpretation of the imagery. Comparisons of the modeled and observed reflectances for clear snow areas reveal good agreement at 1.6 mum, but 10 - 35% overestimates of the 3.75-mum reflectance by the model. Over the Arctic, the modeled visible reflectance is significantly greater than the observed values. Better agreement is obtained over the Antarctic where snow melt is less significant.</t>
  </si>
  <si>
    <t>SAIC, Hampton, VA 23666 USA</t>
  </si>
  <si>
    <t>Science Applications International Corporation (SAIC)</t>
  </si>
  <si>
    <t>Trepte, QZ (corresponding author), SAIC, 1 Enterprise Pkwy Ctr, Hampton, VA 23666 USA.</t>
  </si>
  <si>
    <t>Minnis, Patrick/G-1902-2010</t>
  </si>
  <si>
    <t>Minnis, Patrick/0000-0002-4733-6148</t>
  </si>
  <si>
    <t>0-8194-4677-7</t>
  </si>
  <si>
    <t>10.1117/12.467306</t>
  </si>
  <si>
    <t>Engineering, Aerospace; Instruments &amp; Instrumentation; Meteorology &amp; Atmospheric Sciences; Remote Sensing; Optics</t>
  </si>
  <si>
    <t>Engineering; Instruments &amp; Instrumentation; Meteorology &amp; Atmospheric Sciences; Remote Sensing; Optics</t>
  </si>
  <si>
    <t>BW64V</t>
  </si>
  <si>
    <t>WOS:000182689500050</t>
  </si>
  <si>
    <t>Goutx, M; Guigue, C; Striby, L</t>
  </si>
  <si>
    <t>Triacylglycerol biodegradation experiment in marine environmental conditions: definition of a new lipolysis index</t>
  </si>
  <si>
    <t>ORGANIC GEOCHEMISTRY</t>
  </si>
  <si>
    <t>FATTY-ACID COMPOSITIONS; NORTHWESTERN MEDITERRANEAN SEA; FLAME IONIZATION DETECTION; DISSOLVED LIPID CLASSES; PHOSPHOLIPID-COMPOSITION; ORGANIC-MATTER; CULTURE TURBIDOSTATS; MICROBIAL BIOMASS; PARTICULATE; PSEUDOMONAS</t>
  </si>
  <si>
    <t>An experiment on the biodegradation of dissolved triacylglycerol (TG) by a natural Antarctic bacterial community was performed at in situ temperature, in the dark. The lipid classes and their metabolites resulting from the TG degradation were identified and quantified by TLC/FID Iatroscan analysis. TG was hydrolysed rapidly by bacteria (K= -0.22 d(-1)), whereas metabolites were accumulated at different rates. An increase of phospholipids (PL) was observed, related to the growth of bacteria. This experiment confirmed that in the marine environment, diglycerides (DG), monoglycerides (MG) and free fatty acids (FFA) are released by the hydrolysis of acyl-lipids. We define the Lipolysis Index (LI) as the ratio of the sum of the metabolites resulting from the acyl-lipid degradation to the sum of the acyl-lipids present in the medium. We propose to use this lipolysis index (LI) as a new tool which characterises the degradation stage of labile organic matter in natural sea water samples. (C) 2003 Elsevier Ltd. All rights reserved.</t>
  </si>
  <si>
    <t>Univ Aix Marseille 2, CNRS,UMR6117,INSU, Ctr Oceanol Marseille, Observ Sci Univers,Lab Microbiol Marine, F-13288 Marseille 9, France</t>
  </si>
  <si>
    <t>Centre National de la Recherche Scientifique (CNRS); CNRS - National Institute for Earth Sciences &amp; Astronomy (INSU); Aix-Marseille Universite</t>
  </si>
  <si>
    <t>Goutx, M (corresponding author), Univ Aix Marseille 2, CNRS,UMR6117,INSU, Ctr Oceanol Marseille, Observ Sci Univers,Lab Microbiol Marine, Case 907,Campus Luminy, F-13288 Marseille 9, France.</t>
  </si>
  <si>
    <t>0146-6380</t>
  </si>
  <si>
    <t>ORG GEOCHEM</t>
  </si>
  <si>
    <t>Org. Geochem.</t>
  </si>
  <si>
    <t>10.1016/S0146-6380(03)00119-0</t>
  </si>
  <si>
    <t>728MU</t>
  </si>
  <si>
    <t>WOS:000185721600008</t>
  </si>
  <si>
    <t>Griffiths, HJ; Linse, K; Crame, JA</t>
  </si>
  <si>
    <t>SOMBASE - Southern Ocean Mollusc Database: A tool for biogeographic analysis in diversity and ecology</t>
  </si>
  <si>
    <t>ORGANISMS DIVERSITY &amp; EVOLUTION</t>
  </si>
  <si>
    <t>GIS; database; biogeography; distribution; systematics; taxonomy</t>
  </si>
  <si>
    <t>BIODIVERSITY; PALEOECOLOGY</t>
  </si>
  <si>
    <t>Databases and Geographical Information Systems are becoming increasingly popular tools for biogeographic analysis. The reliability of the analysis depends on the accuracy of the entered data and the ability to add changes in systematics and taxonomy. The main aim of the Southern Ocean Mollusc Database (SOMBASE) project is to set up a database linked with a GIS and user-friendly front end. This system allows for the inclusion of other taxa in the future. Currently the database consists of records for 950 shelled gastropod and 136 bivalve species and 2800 sites from the Southern Ocean. The database contains fields including: 1) Taxonomic authorship, synonyms, higher level classifications, diagnostic morphological characters, and ecological features; 2) Distributional information including substrate and depth; 3) Bibliographic information. The maps can display selected sites based on any query of any field or combination of fields in the database. An online version of the database is available with distribution maps for all taxonomic levels (www.antarctica.ac.uk/SOMBASE).</t>
  </si>
  <si>
    <t>hjg@bas.ac.uk</t>
  </si>
  <si>
    <t>Griffiths, Huw J/D-4234-2009</t>
  </si>
  <si>
    <t>Griffiths, Huw J/0000-0003-1764-223X; Linse, Katrin/0000-0003-3477-3047</t>
  </si>
  <si>
    <t>SPRINGER HEIDELBERG</t>
  </si>
  <si>
    <t>HEIDELBERG</t>
  </si>
  <si>
    <t>TIERGARTENSTRASSE 17, D-69121 HEIDELBERG, GERMANY</t>
  </si>
  <si>
    <t>1439-6092</t>
  </si>
  <si>
    <t>1618-1077</t>
  </si>
  <si>
    <t>ORG DIVERS EVOL</t>
  </si>
  <si>
    <t>Org. Divers. Evol.</t>
  </si>
  <si>
    <t>10.1078/1439-6092-00079</t>
  </si>
  <si>
    <t>Evolutionary Biology; Zoology</t>
  </si>
  <si>
    <t>740TN</t>
  </si>
  <si>
    <t>WOS:000186417800005</t>
  </si>
  <si>
    <t>Sifeddine, A; Albuquerque, ALS; Ledru, MP; Turcq, B; Knoppers, B; Martin, L; de Mello, WZ; Passenau, H; Dominguez, JML; Cordeiro, RC; Abrao, JJ; Bittencourt, ACDP</t>
  </si>
  <si>
    <t>A 21000 cal years paleoclimatic record from Caco Lake, northern Brazil: evidence from sedimentary and pollen analyses</t>
  </si>
  <si>
    <t>PALAEOGEOGRAPHY PALAEOCLIMATOLOGY PALAEOECOLOGY</t>
  </si>
  <si>
    <t>CLIMATIC CHANGES; AGE CALIBRATION; AMAZONIA; HISTORY; FOREST; BOLIVIA; ENVIRONMENT; TITICACA; LAGOA; ANDES</t>
  </si>
  <si>
    <t>Sedimentological studies including seismic profiles, mineralogy and organic geochemistry on two cores from the center and margin of Caco Lake, Mararthdo State, northern Brazil, revealed variable climatic and environmental conditions during the last 21 cal kyr BP. Between 21 and 17 cal kyr BP, during the Late Glacial Maximum, regional climate was predominantly dry, interrupted by short humid phases, as reflected by a succession of very thin layers of sand and organic matter. The Late Pleistocene climate was relatively wet as is suggested by rapid lake-level rise and forest expansion. The Late Pleistocene humid climate differed significantly from present conditions. We suggest that Late Glacial humid conditions were the consequence of intensification of the Inter-Tropical Convergence Zone or shifts of its position, resulting in Antarctic cold-front occurrences. The abrupt climatic changes during this period were marked by siderite deposition into Caco Lake, which appears to be related to regional hydrologic changes linked to global/Northern Hemisphere events. The Holocene was characterized by lower moisture availability and a distinct dry period until 7 cal kyr BP, in response to South American insolation conditions. (C) 2002 Published by Elsevier Science BN.</t>
  </si>
  <si>
    <t>Univ Fed Fluminense, Dept Geoquim, BR-24020007 Niteroi, RJ, Brazil; Univ Fed Sao Carlos, Dept Ecol &amp; Biol Evolut, BR-1365690 Sao Carlos, SP, Brazil; IRD, F-93143 Bondy, France; Univ Sao Paulo, Inst Geociencias, Dept Geol Sedimentar &amp; Ambiental, BR-05422970 Sao Paulo, Brazil; Univ Fed Bahia, Inst Geociencias, Lab Estudos Costeiros, CPGG, BR-40210340 Salvador, BA, Brazil</t>
  </si>
  <si>
    <t>Universidade Federal Fluminense; Universidade Federal de Sao Carlos; Institut de Recherche pour le Developpement (IRD); Universidade de Sao Paulo; Universidade Federal da Bahia</t>
  </si>
  <si>
    <t>Sifeddine, A (corresponding author), Univ Fed Fluminense, Dept Geoquim, Outeiro Sao Joao Batista, BR-24020007 Niteroi, RJ, Brazil.</t>
  </si>
  <si>
    <t>Albuquerque, Ana Luiza/AAC-1536-2019; Knoppers, Bastiaan/AAK-2311-2021; Turcq, Bruno Jean/IYJ-9120-2023; Dominguez, José M L/I-4365-2014; DE MELLO, WILLIAM ZAMBONI/AAO-8416-2021; Dominguez, José Maria Landim/AAB-9181-2020; Sifeddine, Abdel/H-9828-2015; Campello Cordeiro, Renato/J-8870-2013</t>
  </si>
  <si>
    <t>Albuquerque, Ana Luiza/0000-0003-1267-6190; Turcq, Bruno Jean/0000-0002-7782-5268; Campello Cordeiro, Renato/0000-0002-6785-601X; Ledru, Marie-Pierre/0000-0002-8079-9320</t>
  </si>
  <si>
    <t>0031-0182</t>
  </si>
  <si>
    <t>PALAEOGEOGR PALAEOCL</t>
  </si>
  <si>
    <t>Paleogeogr. Paleoclimatol. Paleoecol.</t>
  </si>
  <si>
    <t>PII S0031-0182(02)00591-6</t>
  </si>
  <si>
    <t>10.1016/S0031-0182(02)00591-6</t>
  </si>
  <si>
    <t>Geography, Physical; Geosciences, Multidisciplinary; Paleontology</t>
  </si>
  <si>
    <t>Physical Geography; Geology; Paleontology</t>
  </si>
  <si>
    <t>633JP</t>
  </si>
  <si>
    <t>WOS:000180279800003</t>
  </si>
  <si>
    <t>Barwick, S; Beatty, J; Besson, D; Clem, J; Coutu, S; DuVernois, M; Evenson, P; Gorham, P; Halzen, F; Jacobson, A; Kieda, D; Learned, J; Liewer, KM; Lowe, S; Naudet, C; Odian, A; Saltzberg, D; Seckel, D</t>
  </si>
  <si>
    <t>Gorham, PW</t>
  </si>
  <si>
    <t>Overview of the ANITA project</t>
  </si>
  <si>
    <t>PARTICLE ASTROPHYSICS INSTRUMENTATION</t>
  </si>
  <si>
    <t>Proceedings of SPIE</t>
  </si>
  <si>
    <t>Conference on Particle Astrophysics Instrumentation</t>
  </si>
  <si>
    <t>AUG 22-23, 2002</t>
  </si>
  <si>
    <t>WAIKOLOA, HI</t>
  </si>
  <si>
    <t>ANITA; high energy neutrinos; Antarctica; balloon</t>
  </si>
  <si>
    <t>EXTENSIVE AIR-SHOWERS; RAY ENERGY-SPECTRUM; RADIO PULSES; COSMIC-RAYS; ARRIVAL DIRECTIONS; NEUTRINOS; EMISSION; RADIATION</t>
  </si>
  <si>
    <t>The ANITA project is designed to investigate ultra-high energy (&gt;10(17) eV) cosmic ray interactions throughout the universe by detecting the neutrinos created in those interactions. These high energy neutrinos are detectable through their interactions within the Antarctic ice sheet, which ANITA will use as a detector target that effectively converts the neutrino interactions to radio pulses. This paper will give an overview of the project including scientific objectives, detection description and mission design.</t>
  </si>
  <si>
    <t>Univ Calif Irvine, Irvine, CA 92717 USA</t>
  </si>
  <si>
    <t>University of California System; University of California Irvine</t>
  </si>
  <si>
    <t>Univ Calif Irvine, Irvine, CA 92717 USA.</t>
  </si>
  <si>
    <t>gorham@phys.hawaii.edu; kurt.liewer@jpl.nasa.gov</t>
  </si>
  <si>
    <t>Beatty, James/D-9310-2011</t>
  </si>
  <si>
    <t>Beatty, James/0000-0003-0481-4952; Gorham, Peter/0000-0002-0923-9363; Coutu, Stephane/0000-0003-2923-2246</t>
  </si>
  <si>
    <t>1996-756X</t>
  </si>
  <si>
    <t>0-8194-4637-8</t>
  </si>
  <si>
    <t>PROC SPIE</t>
  </si>
  <si>
    <t>10.1117/12.458546</t>
  </si>
  <si>
    <t>Astronomy &amp; Astrophysics; Instruments &amp; Instrumentation; Optics</t>
  </si>
  <si>
    <t>BW51L</t>
  </si>
  <si>
    <t>WOS:000182251600028</t>
  </si>
  <si>
    <t>Barwick, S; Beatty, J; Besson, D; Clem, J; Coutu, S; DuVernois, M; Evenson, P; Gorham, P; Halzen, F; Kieda, D; Learned, J; Liewer, K; Matsuno, S; Naudet, C; Saltzberg, D; Seckel, D; Varner, G</t>
  </si>
  <si>
    <t>Antarctic impulsive transient antenna (ANITA) instrumentation</t>
  </si>
  <si>
    <t>ANITA; neutrino; balloon; Antarctic; Cherenkov</t>
  </si>
  <si>
    <t>RADIOFREQUENCY</t>
  </si>
  <si>
    <t>We will report on the details of the ANITA instrument. This instrument is fundamentally a broad. band antenna, which is arrayed and constructed in such a way as to be optimized for the detection and characterization of high-energy neutrino cascades [1]. The requirement to maximize the detector view of the Antarctic ice fields implies low gain antennas yet the need for maximum sensitivity dictates using the highest gain possible. Since the Cherenkov signal increases quadratically at higher frequencies suggesting that the optimal selection is an antenna with constant gain as a function of frequency. The baseline design will be a linearly polarized log-periodic zigzag (LPZZ) antenna.</t>
  </si>
  <si>
    <t>Univ Calif Irvine, Dept Phys, Irvine, CA 92717 USA</t>
  </si>
  <si>
    <t>Barwick, S (corresponding author), Univ Calif Irvine, Dept Phys, Irvine, CA 92717 USA.</t>
  </si>
  <si>
    <t>Beatty, James/0000-0003-0481-4952; Coutu, Stephane/0000-0003-2923-2246; Gorham, Peter/0000-0002-0923-9363</t>
  </si>
  <si>
    <t>10.1117/12.458042</t>
  </si>
  <si>
    <t>WOS:000182251600029</t>
  </si>
  <si>
    <t>Newsham, KK</t>
  </si>
  <si>
    <t>Response of saprotrophic fungal communities to declining SO2 pollution in the natural environment</t>
  </si>
  <si>
    <t>PEDOBIOLOGIA</t>
  </si>
  <si>
    <t>sulphur dioxide; angiospermous tree leaf litter; saprotrophic fungi; fungal community changes</t>
  </si>
  <si>
    <t>SULFUR-DIOXIDE; DECOMPOSITION; FOREST; LITTER</t>
  </si>
  <si>
    <t>The composition of saprotrophic fungal communities on sessile oak (Quercus petraea) and sycamore (Acer pseudoplatanus) leaf litters from a woodland at Cefnpennar in South Wales, UK, were analysed in late winter and early spring every three years between 1988 and 2000. Decreases in predicted (assessed by presence of lichen indicator species) and measured concentrations of gaseous SO2 emitted from a nearby phurnacite briquetting plant were recorded at the woodland during this period, together with reductions in concentrations Of SO42--S leached from leaf litters. Changes to the saprotrophic fungal communities on the litters were also observed between 1988 and 2000. Generalised linear models and rank correlation analyses indicated that Aureobasidium pullulans, Fusarium avenaceum, F lateritium, Verticillium lecanii and Torula herbarum became more abundant on oak and sycamore litters. By contrast, Acremonium persicinum, Cylindrocarpon orthosporum, Phoma macrostoma and Trichoderma spp. became less abundant on both litter types. These changes to the composition of saprotrophic fungal communities broadly corroborate those derived from open-air SO2 fumigation experiments. They infer that fungal community composition is influenced by SO2 in the natural environment and that recovery of communities takes place following chronic exposure to the gas.</t>
  </si>
  <si>
    <t>Inst Terr Ecol, Merlewood Res Stn, Ctr Ecol &amp; Hydrol, Grange Over Sands LA11 6JU, Cumbria, England; Cardiff Univ, Cardiff Sch Biosci, Cardiff CF10 3US, S Glam, Wales; Univ York, Dept Biol, York YO10 5YW, N Yorkshire, England; CEH Monks Wood, Huntingdon PE28 2LS, Cambs, England; British Antarctic Survey, Cambridge CB3 0ET, England</t>
  </si>
  <si>
    <t>UK Centre for Ecology &amp; Hydrology (UKCEH); Cardiff University; University of York - UK; UK Centre for Ecology &amp; Hydrology (UKCEH); UK Research &amp; Innovation (UKRI); Natural Environment Research Council (NERC); NERC British Antarctic Survey</t>
  </si>
  <si>
    <t>Newsham, KK (corresponding author), Inst Terr Ecol, Merlewood Res Stn, Ctr Ecol &amp; Hydrol, Grange Over Sands LA11 6JU, Cumbria, England.</t>
  </si>
  <si>
    <t>Newsham, Kevin K/C-4192-2011</t>
  </si>
  <si>
    <t>0031-4056</t>
  </si>
  <si>
    <t>Pedobiologia</t>
  </si>
  <si>
    <t>10.1078/0031-4056-00171</t>
  </si>
  <si>
    <t>Ecology; Soil Science</t>
  </si>
  <si>
    <t>Environmental Sciences &amp; Ecology; Agriculture</t>
  </si>
  <si>
    <t>647GB</t>
  </si>
  <si>
    <t>WOS:000181084100009</t>
  </si>
  <si>
    <t>Gavrilov, AV; Tumskoy, VE</t>
  </si>
  <si>
    <t>Phillips, M; Springman, SM; Arenson, LU</t>
  </si>
  <si>
    <t>Model of mean annual temperature history for the Yakutian coastal lowlands and arctic shelf during the last 400 thousand years</t>
  </si>
  <si>
    <t>PERMAFROST, VOLS 1 AND 2</t>
  </si>
  <si>
    <t>8th International Conference on Permafrost</t>
  </si>
  <si>
    <t>ZURICH, SWITZERLAND</t>
  </si>
  <si>
    <t>NORTHERN SIBERIA; REGION</t>
  </si>
  <si>
    <t>Most large-scale climate oscillations on the Earth are synchronous. This enables the use of Antarctic and Greenland isotope paleotemperature curves for regional paleotemperature simulations in areas, which were not glaciated. We use Antarctic and Greenland glacier curves as indexes of global climate oscillations, and use regional paleotemperature reconstructions as reference data. Such a model was built for the Yakutian coastal lowlands and adjacent shelf. The Vista isotope paleotemperature curve (Antarctica) and the mean annual air and ground paleotemperature reconstructions for these coastal lowlands comprise the base data for the regional paleotemperature simulation. A good correlation of this model with Upper Pleistocene-Holocene key-sections in the study area is achieved.</t>
  </si>
  <si>
    <t>Moscow MV Lomonosov State Univ, Fac Geol, Moscow, Russia</t>
  </si>
  <si>
    <t>Lomonosov Moscow State University</t>
  </si>
  <si>
    <t>Gavrilov, AV (corresponding author), Moscow MV Lomonosov State Univ, Fac Geol, Moscow, Russia.</t>
  </si>
  <si>
    <t>Tumskoy, Vladimir E./Y-5682-2018</t>
  </si>
  <si>
    <t>A A BALKEMA PUBLISHERS</t>
  </si>
  <si>
    <t>SCHIPHOLWEG 107C, PO BOX 447, 2316 XC LEIDEN, NETHERLANDS</t>
  </si>
  <si>
    <t>90-5809-582-7</t>
  </si>
  <si>
    <t>BX35T</t>
  </si>
  <si>
    <t>WOS:000185049300052</t>
  </si>
  <si>
    <t>Guglielmin, M; Balks, M; Paetzold, R</t>
  </si>
  <si>
    <t>Towards an Antarctic active layer and permafrost monitoring network</t>
  </si>
  <si>
    <t>NORTHERN-VICTORIA-LAND</t>
  </si>
  <si>
    <t>This paper is the first step to create a coordinated program for active layer monitoring in Antarctica as instigated by several international panels and programs (GCOS, IGBP). Actually 7 sites located along a latitudinal transect in Victoria Land between 77degrees55'S and 74degrees26'S are monitored. At all the sites ground temperatures at depths to 7.8 m and some climatic parameters (e.g. air temperature, incoming radiation), are all year round recorded using dataloggers. The climatic significance of GST in four selected sites (Scott Base, Bull Pass, Boulder Clay and Simpson Crags) is illustrated. The active layer thickness shows a large variability both in space and in time. The southern sites show an active layer thicker (ranging between 22 and 55 em) than the northern ones (17-39 cm) despite of a warmer GST in the last. This difference can be explained with the higher ice content of the northern sites.</t>
  </si>
  <si>
    <t>ArpaLombardia, Milan, Italy</t>
  </si>
  <si>
    <t>Guglielmin, M (corresponding author), ArpaLombardia, Milan, Italy.</t>
  </si>
  <si>
    <t>WOS:000185049300061</t>
  </si>
  <si>
    <t>Hall, K</t>
  </si>
  <si>
    <t>Micro-transducers and high-frequency rock temperature data: changing our perspectives on rock weathering in cold regions</t>
  </si>
  <si>
    <t>THERMAL-STRESS; ANTARCTICA; ISLAND</t>
  </si>
  <si>
    <t>Generally held notions of weathering in cold regions that identify mechanical, primarily freeze-thaw, weathering as dominating and chemical weathering as temperature limited, are largely the outcome of inadequate data. Significantly, experiments have shown that perceptions of process may devolve not only from frequency of data acquisition but also from the type of transducer used to monitor temperature. Here high-frequency thermal data, including that collected at the grain scale from the Antarctic, are presented to show the complexities and diversity of diurnal weathering processes in cold environments. The combination of high-frequency data (10 seconds) coupled with micro-thermocouples (diam. &lt; 0. 15 mm) provide new data related to granular disintegration. Values of DeltaT/t observed can be high (12degreesC min(-1)), can be multi-directional (in terms of within-minute and between-minute thermal changes), and can be frequent. High frequency thermal data also provide field-based evidence for the occurrence of water freezing within rock. The presence of water, to freeze, also provides indirect evidence in favour of chemical weathering during winter.</t>
  </si>
  <si>
    <t>Univ No British Columbia, Geog Program, Prince George, BC V2L 5P2, Canada</t>
  </si>
  <si>
    <t>University of Northern British Columbia</t>
  </si>
  <si>
    <t>Hall, K (corresponding author), Univ No British Columbia, Geog Program, Prince George, BC V2L 5P2, Canada.</t>
  </si>
  <si>
    <t>WOS:000185049300063</t>
  </si>
  <si>
    <t>Omelon, CR; Ferris, FG; Pollard, WH; Andersen, DT; Whyte, L</t>
  </si>
  <si>
    <t>High Arctic cryptoendolithic microorganisms in a polar desert environment</t>
  </si>
  <si>
    <t>ANTARCTIC COLD DESERT; ENDOLITHIC MICROORGANISMS; DRY VALLEYS; ROSS DESERT; MICROBIAL COMMUNITIES; SANDSTONE</t>
  </si>
  <si>
    <t>The recent discovery of cryptoendolithic microbial communities (prokaryotic, microalgal, or fungal assemblages living within structural cavities of porous rocks) in sandstone outcrops on northern Ellesmere Island in the Canadian high Arctic provides an important opportunity to explore a unique microbial habitat in one of Canada's most extreme environments. Preliminary reconnaissance in 2001 revealed a relative abundance of cyanobacterial communities in lithic environments; their presence in the subsurface in areas with limited epilithic growths appears to be controlled by the thermal capacity of the host substrate to maintain overall warmer temperatures during periods of insolation, as well as to moderate short-term temperature fluctuations. Comparisons to Antarctic cryptoendoliths reveal that Arctic microbial endoliths have much longer active growth periods resulting from an overall warmer climate.</t>
  </si>
  <si>
    <t>Univ Toronto, Dept Geol, Toronto, ON, Canada</t>
  </si>
  <si>
    <t>University of Toronto</t>
  </si>
  <si>
    <t>Omelon, CR (corresponding author), Univ Toronto, Dept Geol, Toronto, ON, Canada.</t>
  </si>
  <si>
    <t>Andersen, Dale T/B-4816-2013; Omelon, Christopher/B-8520-2011</t>
  </si>
  <si>
    <t>Andersen, Dale T/0000-0001-8827-1259; Omelon, Christopher/0000-0003-4563-3189</t>
  </si>
  <si>
    <t>WOS:000185049300149</t>
  </si>
  <si>
    <t>Ramos, M; Vieira, G</t>
  </si>
  <si>
    <t>Active layer and permafrost monitoring in Livingston Island, Antarctic. First results from 2000 to 2001</t>
  </si>
  <si>
    <t>Two shallow borcholes were drilled in 2000 in the vicinity of the Spanish Antarctic Station Juan Carlos I in Livingston Island (South Shetlands, Antarctic - 62degrees39'S, 60degrees21'W). A borehole is located in Cerro Incinerador at 35 m ASL and was drilled to 240 cm depth in quartzite bedrock (Myers Bluff Formation). The other is located in Reina Sofia Peak at 275 m ASL and was drilled in a matrix-supported diamicton to a depth of 110 cm. PVC tubes were inserted in the drillings and thermistor chains based on miniature data loggers were installed inside them. Temperature data is collected at 4-hour intervals. The first year of data from the boreholes evidence their different setting, both in what respects to altitude and to ground thermal properties. The results from the borehole at Cerro Incinerador suggest that the active layer is very thick there and the borehole does not reach the (possible) permafrost table. At Reina Sofia Peak, the lower section of the drilling is below the permafrost table. In this paper, the ground temperature data from the two boreholes from 2000 to 2001 will be presented.</t>
  </si>
  <si>
    <t>Univ Alcala de Henares, Dept Phys, Alcala De Henares, Spain</t>
  </si>
  <si>
    <t>Universidad de Alcala</t>
  </si>
  <si>
    <t>Univ Alcala de Henares, Dept Phys, Alcala De Henares, Spain.</t>
  </si>
  <si>
    <t>Vieira, Goncalo/G-5958-2010; Jazwinska, Anna/M-8705-2016; Ramos, Miguel/K-2230-2014</t>
  </si>
  <si>
    <t>Vieira, Goncalo/0000-0001-7611-3464; Jazwinska, Anna/0000-0003-3881-9284; Ramos, Miguel/0000-0003-3648-6818</t>
  </si>
  <si>
    <t>WOS:000185049300163</t>
  </si>
  <si>
    <t>Vieira, G; Ramos, M</t>
  </si>
  <si>
    <t>Geographic factors and geocryological activity in Livingston Island, Antarctic. Preliminary results</t>
  </si>
  <si>
    <t>The study presents results from the geomorphological mapping of geocryological phenomena on the northwest sector of Hurd Peninsula, Livingston Island, including frost-shattered debris, talus slopes, stone-banked lobes, rockglaciers and patterned ground. Results are integrated in a GIS and compared to data on altitude, slope angle, aspect and calculated summer net radiation. They show a generally poor influence of the studied climate-related variables, a fact that may be related to the particular climatic characteristics of the Maritime Antarctic with positive summer temperatures and rainfall at sea-level, and very high cloudiness that reduces the significance of direct solar radiation. Geocryological evidence supports the presence of permafrost at least in the mid-part of the south slope of Johnsons Ridge and at the Reina Sofia Peak. As suggested by others, very probably permafrost is present even at low altitudes, but geocryological phenomena in the studied sector are inconclusive in that matter.</t>
  </si>
  <si>
    <t>Univ Lisbon, Ctr Estudos Geograf, P-1699 Lisbon, Portugal; Univ Alcala de Henares, Dept Phys, Alcala De Henares, Spain</t>
  </si>
  <si>
    <t>Universidade de Lisboa; Universidad de Alcala</t>
  </si>
  <si>
    <t>Univ Lisbon, Ctr Estudos Geograf, P-1699 Lisbon, Portugal.</t>
  </si>
  <si>
    <t>Vieira, Goncalo/G-5958-2010; Ramos, Miguel/K-2230-2014</t>
  </si>
  <si>
    <t>Vieira, Goncalo/0000-0001-7611-3464; Ramos, Miguel/0000-0003-3648-6818</t>
  </si>
  <si>
    <t>WOS:000185049300208</t>
  </si>
  <si>
    <t>McKenzie, RL; Björn, LO; Bais, A; Ilyasd, M</t>
  </si>
  <si>
    <t>Changes in biologically active ultraviolet radiation reaching the Earth's surface</t>
  </si>
  <si>
    <t>PHOTOCHEMICAL &amp; PHOTOBIOLOGICAL SCIENCES</t>
  </si>
  <si>
    <t>ACTINIC FLUX SPECTRORADIOMETRY; OPTICAL DEPTH MEASUREMENTS; SPECTRAL UV IRRADIANCE; LONG-TERM VARIATIONS; B RADIATION; NEW-ZEALAND; CLOUDY ATMOSPHERE; OZONE DEPLETION; SOLAR-RADIATION; TRANSFER MODEL</t>
  </si>
  <si>
    <t>Since publication of the 1998 UNEP Assessment, there has been continued rapid expansion of the literature on UV-B radiation. Many measurements have demonstrated the inverse relationship between column ozone amount and UV radiation, and in a few cases long-term increases due to ozone decreases-have been identified. The quantity, quality and availability of ground-based UV measurements relevant to assessing the environmental impacts of ozone changes continue to improve. Recent studies have contributed to delineating regional and temporal differences due to aerosols, clouds, and ozone. Improvements in radiative transfer modelling capability now enable more accurate characterization of clouds, snow-cover, and topographical effects. A standardized scale for reporting UV to the public has gained wide acceptance. There has been increased use of satellite data to estimate geographic variability and trends in UV. Progress has been made in assessing the utility of satellite retrievals of UV radiation by comparison with measurements at the Earth's surface. Global climatologies of UV radiation are now available on the Internet. Anthropogenic aerosols play a more important role in attenuating UV irradiances than has been assumed previously, and this will have implications for the accuracy of UV retrievals from satellite data. Progress has been made inferring historical levels of UV, radiation using measurements of ozone (from satellites or from ground-based networks) in conjunction with measurements of total solar radiation obtained from extensive meteorological networks. We cannot yet be sure whether global ozone has reached a minimum. Atmospheric chlorine concentrations are beginning to decrease. However, bromine concentrations are still increasing. While these halogen concentrations remain high, the ozone layer remains vulnerable to further depletion from events such as volcanic eruptions that inject material into the stratosphere. Interactions between global warming and ozone depletion could delay ozone recovery by several years, and this topic remains an area of intense research interest. Future changes in greenhouse gases will affect the future evolution of ozone through chemical, radiative, and dynamic processes. In this highly coupled system, an evaluation of the relative importance of these processes is difficult; studies are ongoing. A reliable assessment of these effects on total column ozone is limited by uncertainties in lower stratospheric response to these changes. At several sites, changes in UV differ from those expected from ozone changes alone, possibly as a result of long-term changes in aerosols, snow cover, or clouds. This indicates a possible interaction between climate change and UV radiation. Cloud reflectance measured by satellite has shown a long-term increase at some locations, especially in the Antarctic region, but also in Central Europe, which would tend to reduce the UV radiation. Even with the expected decreases in atmospheric chlorine, it will be several years before the beginning of an ozone recovery can be unambiguously identified at individual locations. Because UV-B is more variable than ozone, any identification of its recovery would be further delayed.</t>
  </si>
  <si>
    <t>NIWA Lauder, Natl Inst Water &amp; Atmospher Res, Central Otago, New Zealand; Lund Univ, Dept Cell &amp; Organism Biol, SE-22362 Lund, Sweden; Aristotle Univ Thessaloniki, Lab Atmospher Phys, GR-54006 Thessaloniki, Greece; Univ Sci Malaysia, Sheikh Tahir Astrogeophys Ctr, USM Penang 11800, Malaysia</t>
  </si>
  <si>
    <t>National Institute of Water &amp; Atmospheric Research (NIWA) - New Zealand; Lund University; Aristotle University of Thessaloniki; Universiti Sains Malaysia</t>
  </si>
  <si>
    <t>NIWA Lauder, Natl Inst Water &amp; Atmospher Res, PB 50061 Omakau, Central Otago, New Zealand.</t>
  </si>
  <si>
    <t>r.mckenzie@niwa.co.nz; lars_olof.bjorn@fysbot.lu.se; abais@auth.gr; milyas@usm.my</t>
  </si>
  <si>
    <t>Bais, Alkiviadis/D-2230-2009; Madronich, Sasha/D-3284-2015</t>
  </si>
  <si>
    <t>Bais, Alkiviadis/0000-0003-3899-2001; Madronich, Sasha/0000-0003-0983-1313; McKenzie, Richard Lloyd/0000-0002-4484-7057</t>
  </si>
  <si>
    <t>1474-905X</t>
  </si>
  <si>
    <t>1474-9092</t>
  </si>
  <si>
    <t>PHOTOCH PHOTOBIO SCI</t>
  </si>
  <si>
    <t>Photochem. Photobiol. Sci.</t>
  </si>
  <si>
    <t>10.1039/b211155c</t>
  </si>
  <si>
    <t>Biochemistry &amp; Molecular Biology; Biophysics; Chemistry, Physical</t>
  </si>
  <si>
    <t>Biochemistry &amp; Molecular Biology; Biophysics; Chemistry</t>
  </si>
  <si>
    <t>642HH</t>
  </si>
  <si>
    <t>WOS:000180797800004</t>
  </si>
  <si>
    <t>Häder, DP; Kumar, HD; Smith, RC; Worrest, RC</t>
  </si>
  <si>
    <t>Aquatic ecosystems:: effects of solar ultraviolet radiation and interactions with other climatic change factors</t>
  </si>
  <si>
    <t>UV-B RADIATION; COD GADUS-MORHUA; DISSOLVED ORGANIC-CARBON; LIGHT DOSIMETER NETWORK; NM INDUCED MORTALITY; LIFE-HISTORY STAGES; AMINO-ACIDS; OZONE DEPLETION; DNA-DAMAGE; ANTARCTIC KRILL</t>
  </si>
  <si>
    <t>Aquatic ecosystems are a key component of the Earth's biosphere. A large number of studies document substantial impact of solar UV radiation on individual species, yet considerable uncertainty remains with respect to assessing impacts on ecosystems. Several studies indicate that the impact of increased UV radiation appears relatively low when considering overall ecosystem response, while, in contrast, effects on individual species show considerable responses. Ecosystem response to climate variability incorporates both synergistic and antagonistic processes with respect to UV-related effects, significantly complicating understanding and prediction at the ecosystem level. The impact of climate variability on UV-related effects often becomes manifest via indirect effects such as reduction in sea ice, changes in water column bio-optical characteristics, changes in cloud cover and shifts in oceanographic biogeochemical provinces.</t>
  </si>
  <si>
    <t>Univ Erlangen Nurnberg, Inst Bot &amp; Pharmazeut Biol, D-91058 Erlangen, Germany; Univ Calif Santa Barbara, Dept Geog, Santa Barbara, CA 93106 USA; Univ Calif Santa Barbara, ICESS, Santa Barbara, CA 93106 USA; Columbia Univ, CIESIN, GCRIO, Washington, DC 20024 USA</t>
  </si>
  <si>
    <t>University of Erlangen Nuremberg; University of California System; University of California Santa Barbara; University of California System; University of California Santa Barbara; Columbia University</t>
  </si>
  <si>
    <t>dphaeder@biologie.uni-erlangen.de</t>
  </si>
  <si>
    <t>KUMAR, DINESH/JTT-7703-2023; KUMAR, DINESH/GRJ-5448-2022</t>
  </si>
  <si>
    <t>KUMAR, DINESH/0000-0002-9641-6662</t>
  </si>
  <si>
    <t>10.1039/b211160h</t>
  </si>
  <si>
    <t>WOS:000180797800007</t>
  </si>
  <si>
    <t>Zepp, RG; Callaghan, TV; Erickson, DJ</t>
  </si>
  <si>
    <t>Interactive effects of ozone depletion and climate change on biogeochemical cycles</t>
  </si>
  <si>
    <t>DISSOLVED ORGANIC-MATTER; UV-B RADIATION; FRESH-WATER ECOSYSTEMS; SOLAR ULTRAVIOLET-RADIATION; TIERRA-DEL-FUEGO; PHOTOCHEMICAL PRODUCTION; HYDROGEN-PEROXIDE; CARBON-CYCLE; LEAF-LITTER; NITROGEN-FIXATION</t>
  </si>
  <si>
    <t>The effects of ozone depletion on global biogeochemical cycles, via increased UV-B radiation at the Earth's surface, have continued to be documented over the past 4 years. In this report we also document various effects of UV-B that interact with global climate change because the detailed interactions between ozone depletion and climate change are central to the prediction and evaluation of future Earth environmental conditions. There is increasing evidence that elevated UV-B has significant effects on the terrestrial biosphere with important implications for the cycling of carbon, nitrogen and other elements. Increased UV has been shown to induce carbon monoxide production from dead plant matter in terrestrial ecosystems, nitrogen oxide production from Arctic and Antarctic snowpacks, and halogenated substances from several terrestrial ecosystems. New studies on UV effects on the decomposition of dead leaf material confirm that these effects are complex and species-specific. Decomposition can be retarded, accelerated or remain unchanged. It has been difficult to relate effects of UV on decomposition rates to leaf litter chemistry, as this is very variable. However, new evidence shows UV effects on some fungi, bacterial communities and soil fauna that could play roles in decomposition and nutrient cycling. An important new result is that not only is nitrogen cycling in soils perturbed significantly by increased UV-B, but that these effects persist for over a decade. As nitrogen cycling is temperature dependent, this finding clearly links the impacts of ozone depletion to the ability of plants to use nitrogen in a warming global environment. There are many other potential interactions between UV and climate change impacts on terrestrial biogeochemical cycles that remain to be quantified. There is also new evidence that UV-B strongly influences aquatic carbon, nitrogen, sulfur, and metals cycling that affect a wide range of life processes. UV-B accelerates the decomposition of colored dissolved organic matter (CDOM) entering the sea via terrestrial runoff, thus having important effects on oceanic carbon cycle dynamics. Since UV-B influences the distribution of CDOM, there is an impact of UV-B on estimates of oceanic productivity based on remote sensing of ocean color. Thus, oceanic productivity estimates based on remote sensing require estimates of CDOM distributions. Recent research shows that UV-B transforms dissolved organic matter to dissolved inorganic carbon and nitrogen, including carbon dioxide and ammonium and to organic substances that are either more or less readily available to micro-organisms. The extent of these transformations is correlated with loss of UV absorbance by the organic matter. Changes in aquatic primary productivity and decomposition due to climate-related changes in circulation and nutrient supply, which occur concurrently with increased UV-B exposure, have synergistic influences on the penetration of light into aquatic ecosystems. New research has confirmed that UV affects the biological availability of iron, copper and other trace metals in aquatic environments thus potentially affecting the growth of phytoplankton and other microorganisms that are involved in carbon and nitrogen cycling. There are several instances where UV-B modifies the air-sea exchange of trace gases that in turn alter atmospheric chemistry, including the carbon cycle.</t>
  </si>
  <si>
    <t>US EPA, Athens, GA 30605 USA; Abisko Sci Res Stn, S-98107 Abisko, Sweden; Univ Sheffield, Sheffield Ctr Arctic Ecol, Dept Anim &amp; Plant Sci, Tapton Expt Gardens, Sheffield S10 5BR, S Yorkshire, England; Oak Ridge Natl Lab, Div Math &amp; Comp Sci, Computat Climate Dynam Grp, Oak Ridge, TN 37831 USA</t>
  </si>
  <si>
    <t>United States Environmental Protection Agency; University of Sheffield; United States Department of Energy (DOE); Oak Ridge National Laboratory</t>
  </si>
  <si>
    <t>US EPA, 960 Coll Stn Rd, Athens, GA 30605 USA.</t>
  </si>
  <si>
    <t>Callaghan, Terens V./N-7640-2014</t>
  </si>
  <si>
    <t>10.1039/b211154n</t>
  </si>
  <si>
    <t>WOS:000180797800008</t>
  </si>
  <si>
    <t>Han, TJ; Sinha, RP; Häder, DP</t>
  </si>
  <si>
    <t>Effects of intense PAR and UV radiation on photosynthesis, growth and pigmentation in the rice-field cyanobacterium Anabaena sp.</t>
  </si>
  <si>
    <t>ULTRAVIOLET-B RADIATION; SALINA GREEN-ALGAE; PHOTOSYSTEM-II; DUNALIELLA-SALINA; ANTARCTIC CYANOBACTERIA; WAVELENGTH DEPENDENCE; CRYPTOMONAS-MACULATA; IRRADIANCE STRESS; SOLAR-RADIATION; PHOTOINHIBITION</t>
  </si>
  <si>
    <t>The relative importance of photosynthetically active radiation and UV on photoinhibition has been studied in the cyanobacterium Anabaena sp. by measuring the effective quantum yield, growth, pigmentation and fluorescence emission.</t>
  </si>
  <si>
    <t>Univ Erlangen Nurnberg, Inst Bot &amp; Pharmazeut Biol, D-91058 Erlangen, Germany; Univ Incheon, Div Biol &amp; Chem, Inchon 402749, South Korea</t>
  </si>
  <si>
    <t>University of Erlangen Nuremberg; Incheon National University</t>
  </si>
  <si>
    <t>Häder, DP (corresponding author), Univ Erlangen Nurnberg, Inst Bot &amp; Pharmazeut Biol, Staudtstr 5, D-91058 Erlangen, Germany.</t>
  </si>
  <si>
    <t>Sinha, Rajeshwar/CAC-2606-2022</t>
  </si>
  <si>
    <t>Sinha, Rajeshwar/0000-0002-0112-6161</t>
  </si>
  <si>
    <t>10.1039/b212652d</t>
  </si>
  <si>
    <t>688JZ</t>
  </si>
  <si>
    <t>WOS:000183432200003</t>
  </si>
  <si>
    <t>Rontó, G; Bérces, A; Lammer, H; Cockell, CS; Molina-Cuberos, GJ; Patel, MR; Selsis, F</t>
  </si>
  <si>
    <t>Solar UV irradiation conditions on the surface of Mars</t>
  </si>
  <si>
    <t>PHOTOCHEMISTRY AND PHOTOBIOLOGY</t>
  </si>
  <si>
    <t>ULTRAVIOLET-RADIATION; ACTION SPECTRA; ATMOSPHERE; DOSIMETRY; BACTERIOPHAGE-T7; ENVIRONMENT; ABSORPTION; EVOLUTION; SPORES; WATER</t>
  </si>
  <si>
    <t>The UV radiation environment on planetary surfaces and within atmospheres is of importance in a wide range of scientific disciplines. Solar UV radiation is a driving force of chemical and organic evolution and serves also as a constraint in biological evolution. In this work we modeled the transmission of present and early solar UV radiation from 200 to 400 nm through the present-day and early (3.5 Gyr ago) Martian atmosphere for a variety of possible cases, including dust loading, observed and modeled O-3 concentrations. The UV stress on microorganisms and/or molecules essential for life was estimated by using DNA damaging effects (specifically bacteriophage T7 killing and uracil dimerization) for various irradiation conditions on the present and ancient Martian surface. Our study suggests that the UV irradiance on the early Martian surface 3.5 Gyr ago may have been comparable with that of present-day Earth, and though the current Martian UV environment is still quite severe from a biological viewpoint, we show that substantial protection can still be afforded under dust and ice.</t>
  </si>
  <si>
    <t>Semmelweis Univ, MTA SE Res Grp Biophys, H-1444 Budapest, Hungary; Austrian Acad Sci, Space Res Inst, Dept Extraterr Phys, A-8010 Graz, Austria; British Antarctic Survey, Cambridge CB3 0ET, England; Univ Murcia, Fac Quim, Dept Fis, Murcia, Spain; Open Univ, Planetary &amp; Space Sci Res Inst, Milton Keynes MK7 6AA, Bucks, England; CSIC, INTA, Ctr Astrobiol, Madrid, Spain</t>
  </si>
  <si>
    <t>Semmelweis University; Austrian Academy of Sciences; UK Research &amp; Innovation (UKRI); Natural Environment Research Council (NERC); NERC British Antarctic Survey; University of Murcia; Open University - UK; Consejo Superior de Investigaciones Cientificas (CSIC); CSIC - Centro de Astrobiologia (INTA)</t>
  </si>
  <si>
    <t>ronto@puskin.sote.hu</t>
  </si>
  <si>
    <t>Lammer, Helmut/HLX-0853-2023; Bérces, Attila/AAD-6192-2020; Berces, Attila/K-1180-2013; Molina-Cuberos, Gregorio J./K-7522-2014</t>
  </si>
  <si>
    <t>Bérces, Attila/0000-0002-7234-5660; Berces, Attila/0000-0002-7234-5660;</t>
  </si>
  <si>
    <t>0031-8655</t>
  </si>
  <si>
    <t>1751-1097</t>
  </si>
  <si>
    <t>PHOTOCHEM PHOTOBIOL</t>
  </si>
  <si>
    <t>Photochem. Photobiol.</t>
  </si>
  <si>
    <t>10.1562/0031-8655(2003)077&lt;0034:SUICOT&gt;2.0.CO;2</t>
  </si>
  <si>
    <t>Biochemistry &amp; Molecular Biology; Biophysics</t>
  </si>
  <si>
    <t>637LD</t>
  </si>
  <si>
    <t>WOS:000180511800007</t>
  </si>
  <si>
    <t>Barták, M; Vráblíková, H; Hájek, J</t>
  </si>
  <si>
    <t>Sensitivity of photosystem 2 of Antarctic lichens to high irradiance stress:: Fluorometric study of fruticose (Usnea antarctica) and foliose (Umbilicaria decussata) species</t>
  </si>
  <si>
    <t>PHOTOSYNTHETICA</t>
  </si>
  <si>
    <t>chlorophyll fluorescence; low temperature; photoinhibition; photosynthesis; non-photochemical quenching; recovery</t>
  </si>
  <si>
    <t>CHLOROPHYLL-A FLUORESCENCE; XANTHOPHYLL-CYCLE; LIGHT STRESS; LOBARIA-PULMONARIA; HIGHER-PLANTS; WILD-TYPE; PHOTOSYNTHESIS; TEMPERATURE; FOREST; LEAVES</t>
  </si>
  <si>
    <t>Two lichen species collected in maritime Antarctica (King George Island) were exposed under laboratory conditions to excess irradiance to evaluate the response of photosystem 2 (PS2). The response was measured on fully hydrated lichen thalli at 5 C by means of a modulated fluorometer using chlorophyll (Chl) fluorescence induction curve supplemented with analysis of quenching mechanisms. Chl fluorescence parameters [i.e. ratio of variable to maximum Chl fluorescence (Fv/FM), quantum yield of PS2 photochemical reactions (Phi(2)), quenching coefficients] were evaluated before and several times after exposition to high irradiance in order to characterise the extent of photoinhibition, fast and slow phase of recovery. Strong irradiance (2 000 mumol m(-2) s(-1)) caused high degree of photoinhibition, particularly higher in fruticose (Usnea antarctica) than in foliose (Umbilicaria decussata) lichen species. Fast phase of recovery from photoinhibition, corresponding to regulatory mechanisms of PS2, was more apparent in U. decussata and Phi(2) than in U. antarctica and F-V/F-M and Phi(2) within 40 min after photoinhibitory treatment. It was followed by a slow phase lasting several hours, corresponding to repair and re-synthesis processes. After photoinhibitory treatment, recovery of non-photochemical quenching (NPQ) was faster and more pronounced in U. decussata than in U. antarctica. Significant differences were found between the two species in the rate of recovery in fast- (q(E)) and slow-recovering (q(T+1)) component of NPQ.</t>
  </si>
  <si>
    <t>Masaryk Univ, Fac Sci, Dept Plant Physiol &amp; Anat, CZ-61137 Brno, Czech Republic</t>
  </si>
  <si>
    <t>Masaryk University Brno</t>
  </si>
  <si>
    <t>Masaryk Univ, Fac Sci, Dept Plant Physiol &amp; Anat, Kotlarska 2, CZ-61137 Brno, Czech Republic.</t>
  </si>
  <si>
    <t>mbartak@sci.muni.cz</t>
  </si>
  <si>
    <t>Hájek, Josef/F-4694-2019; Barták, Miloš/F-4714-2019; Cempírková, Hana/Q-1331-2017; Cempírková, Hana/AAE-9456-2020</t>
  </si>
  <si>
    <t>Hájek, Josef/0000-0002-2679-1707; Cempírková, Hana/0000-0002-6118-6879; Bartak, Milos/0000-0002-3898-3626</t>
  </si>
  <si>
    <t>ACAD SCIENCES CZECH REPUBLIC, INST EXPERIMENTAL BOTANY</t>
  </si>
  <si>
    <t>6 PRAGUE</t>
  </si>
  <si>
    <t>NA KARLOVCE 1A,, 6 PRAGUE, 160 00, CZECH REPUBLIC</t>
  </si>
  <si>
    <t>0300-3604</t>
  </si>
  <si>
    <t>1573-9058</t>
  </si>
  <si>
    <t>Photosynthetica</t>
  </si>
  <si>
    <t>10.1023/B:PHOT.0000027513.90599.ad</t>
  </si>
  <si>
    <t>819HO</t>
  </si>
  <si>
    <t>WOS:000221306100003</t>
  </si>
  <si>
    <t>Clarke, RW; Freeman, MP; Watkins, NW</t>
  </si>
  <si>
    <t>Application of computational mechanics to the analysis of natural data: An example in geomagnetism</t>
  </si>
  <si>
    <t>PHYSICAL REVIEW E</t>
  </si>
  <si>
    <t>1/F NOISE; COMPLEXITY</t>
  </si>
  <si>
    <t>We discuss how the ideal formalism of computational mechanics can be adapted to apply to a noninfinite series of corrupted and correlated data, that is typical of most observed natural time series. Specifically, a simple filter that removes the corruption that creates rare unphysical causal states is demonstrated, and the concept of effective soficity is introduced. We believe that computational mechanics cannot be applied to a noisy and finite data series without invoking an argument based upon effective soficity. A related distinction between noise and unresolved structure is also defined: Noise can only be eliminated by increasing the length of the time series, whereas the resolution of previously unresolved structure only requires the finite memory of the analysis to be increased. The benefits of these concepts are demonstrated in a simulated times series by (a) the effective elimination of white noise corruption from a periodic signal using the expletive filter and (b) the appearance of an effectively sofic region in the statistical complexity of a biased Poisson switch time series that is insensitive to changes in the word length (memory) used in the analysis. The new algorithm is then applied to an analysis of a real geomagnetic time series measured at Halley, Antarctica. Two principal components in the structure are detected that are interpreted as the diurnal variation due to the rotation of the Earth-based station under an electrical current pattern that is fixed with respect to the Sun-Earth axis and the random occurrence of a signature likely to be that of the magnetic substorm. In conclusion, some useful terminology for the discussion of model construction in general is introduced.</t>
  </si>
  <si>
    <t>British Antarctic Survey, Cambridge CB3 OET, England</t>
  </si>
  <si>
    <t>British Antarctic Survey, Madingley Rd, Cambridge CB3 OET, England.</t>
  </si>
  <si>
    <t>mpf@bas.ac.uk</t>
  </si>
  <si>
    <t>Watkins, Nicholas Wynn/C-5140-2008; Watkins, Nick/GPX-7439-2022; Freeman, Mervyn/E-5687-2019</t>
  </si>
  <si>
    <t>Watkins, Nicholas Wynn/0000-0003-4484-6588; Watkins, Nick/0000-0003-4484-6588; Freeman, Mervyn/0000-0002-8653-8279; Clarke, Richard/0000-0003-3152-0423</t>
  </si>
  <si>
    <t>AMER PHYSICAL SOC</t>
  </si>
  <si>
    <t>COLLEGE PK</t>
  </si>
  <si>
    <t>ONE PHYSICS ELLIPSE, COLLEGE PK, MD 20740-3844 USA</t>
  </si>
  <si>
    <t>1539-3755</t>
  </si>
  <si>
    <t>1550-2376</t>
  </si>
  <si>
    <t>PHYS REV E</t>
  </si>
  <si>
    <t>Phys. Rev. E</t>
  </si>
  <si>
    <t>10.1103/PhysRevE.67.016203</t>
  </si>
  <si>
    <t>Physics, Fluids &amp; Plasmas; Physics, Mathematical</t>
  </si>
  <si>
    <t>646CV</t>
  </si>
  <si>
    <t>WOS:000181018000038</t>
  </si>
  <si>
    <t>Shiobara, M; Yabuki, M; Kobayashi, H</t>
  </si>
  <si>
    <t>A polar cloud analysis based on Micro-pulse Lidar measurements at Ny-Alesund, Svalbard and Syowa, Antarctica</t>
  </si>
  <si>
    <t>PHYSICS AND CHEMISTRY OF THE EARTH</t>
  </si>
  <si>
    <t>6th International Scientific Seminar on Changing Physical Environment</t>
  </si>
  <si>
    <t>OCT 08-10, 2002</t>
  </si>
  <si>
    <t>TROMSO, NORWAY</t>
  </si>
  <si>
    <t>Micro-pulse Lidar; polar clouds; cloud base height; Arctic; Antarctic</t>
  </si>
  <si>
    <t>in order to acquire long-term data sets of backscatter profiles of clouds and aerosols in the polar regions, we started Micro-pulse Lidar (MPL) measurements at Ny-Alesund, Svalbard in March 1998 and at Syowa Station, Antarctica in January 2001. The MPL data have been acquired and analyzed for 11 months from the Arctic measurement and for 12 months from the Antarctic measurement. Fine structures of clouds and their temporal change were observed by MPLs with a 30-m range resolution and a 1-min time average. Statistical features of the polar clouds were investigated from the Arctic and Antarctic measurements. Results from the preliminary analysis indicated some differences of seasonal cloud appearance and cloud base heights at the two polar sites. Some features obtained in this study are as follows: over Syowa Station, Antarctica, high altitude clouds tended to appear in (austral) summer, and low altitude appeared more often in (austral) spring and autumn. On the other hand, low altitude clouds in the Arctic were observed particularly in summer and early autumn. Clear sky days were not expected in this season. In both polar regions, the winter clouds were relatively thin compared to the summer clouds. (C) 2003 Elsevier Ltd. All rights reserved.</t>
  </si>
  <si>
    <t>Natl Inst Polar Res, Tokyo 1738515, Japan; Chiba Univ, Ctr Environm Remote Sensing, Chiba 2638522, Japan; Univ Yamanashi, Interdisciplinary Grad Sch Med &amp; Engn, Kofu, Yamanashi 4008511, Japan</t>
  </si>
  <si>
    <t>Research Organization of Information &amp; Systems (ROIS); National Institute of Polar Research (NIPR) - Japan; Chiba University; University of Yamanashi</t>
  </si>
  <si>
    <t>Natl Inst Polar Res, Tokyo 1738515, Japan.</t>
  </si>
  <si>
    <t>shio@nipr.ac.jp; yabuki@ceres.cr.chiba-u.ac.jp; koba@js.yamanashi.ac.jp</t>
  </si>
  <si>
    <t>1474-7065</t>
  </si>
  <si>
    <t>1873-5193</t>
  </si>
  <si>
    <t>PHYS CHEM EARTH</t>
  </si>
  <si>
    <t>Phys. Chem. Earth</t>
  </si>
  <si>
    <t>28-32</t>
  </si>
  <si>
    <t>10.1016/j.pce.2003.08.057</t>
  </si>
  <si>
    <t>Geosciences, Multidisciplinary; Meteorology &amp; Atmospheric Sciences; Water Resources</t>
  </si>
  <si>
    <t>Geology; Meteorology &amp; Atmospheric Sciences; Water Resources</t>
  </si>
  <si>
    <t>746TZ</t>
  </si>
  <si>
    <t>WOS:000186764900005</t>
  </si>
  <si>
    <t>Nicolaus, M; Haas, C; Bareiss, J</t>
  </si>
  <si>
    <t>Observations of superimposed ice formation at melt-onset on fast ice on Kongsfjorden, Svalbard</t>
  </si>
  <si>
    <t>superimposed ice; sea ice; energy balance; snow properties</t>
  </si>
  <si>
    <t>ANTARCTIC SEA-ICE; SNOW COVER</t>
  </si>
  <si>
    <t>Measurements of superimposed ice formation and snow properties as a function of the surface energy balance during melt-onset are presented. They were performed on fast ice on Kongsfjorden, Svalbard, between late May and early June 2002. On May 27, rapid snow melt commenced and within 5 days the snow cover initially 0.23 m thick transformed completely into 0.05-0.06 m of superimposed ice. The superimposed ice formed by both percolation of melt water to ice layers and by settling of snow between ice layers. Melt-onset was characterized by rapid changes in the total energy balance, which became positive throughout the whole day after May 27. The increased energy fluxes were mainly caused by higher incoming longwave radiation due to overcast conditions. The observations show that superimposed ice contributes significantly to sea ice mass balance. (C) 2003 Elsevier Ltd. All rights reserved.</t>
  </si>
  <si>
    <t>Alfred Wegener Inst Polar &amp; Marine Res, Bremerhaven, Germany; Univ Trier, Dept Climatol, Trier, Germany</t>
  </si>
  <si>
    <t>Helmholtz Association; Alfred Wegener Institute, Helmholtz Centre for Polar &amp; Marine Research; Universitat Trier</t>
  </si>
  <si>
    <t>Alfred Wegener Inst Polar &amp; Marine Res, Bremerhaven, Germany.</t>
  </si>
  <si>
    <t>mnicolaus@awi-bremerhaven.de</t>
  </si>
  <si>
    <t>Nicolaus, Marcel/A-3658-2013; Haas, Christian/L-5279-2016</t>
  </si>
  <si>
    <t>Nicolaus, Marcel/0000-0003-0903-1746; Haas, Christian/0000-0002-7674-3500</t>
  </si>
  <si>
    <t>10.1016/j.pce.2003.08.048</t>
  </si>
  <si>
    <t>Green Published, Green Submitted</t>
  </si>
  <si>
    <t>WOS:000186764900009</t>
  </si>
  <si>
    <t>Storch, D; Pörtner, HO</t>
  </si>
  <si>
    <t>The protein synthesis machinery operates at the same expense in eurythermal and cold stenothermal pectinids</t>
  </si>
  <si>
    <t>PHYSIOLOGICAL AND BIOCHEMICAL ZOOLOGY</t>
  </si>
  <si>
    <t>SCALLOP ADAMUSSIUM-COLBECKI; SEA-URCHIN EMBRYOS; SYNTHESIS SYSTEM; NATURAL POLYAMINES; TRANSLATION; ELONGATION; ADAPTATION; ATP; ACCLIMATION; TEMPERATURE</t>
  </si>
  <si>
    <t>Translationally active cell-free systems from gills of the Antarctic scallop Adamussium colbecki and the European scallop Aequipecten opercularis were developed, characterised, and optimised for an analysis of translational capacity. The aim was to determine the energetic cost of protein synthesis in the in vitro cell-free system by directly measuring the required energy equivalents in the lysates. Protein synthesis rate in assays conducted with lysates of A. colbecki (1.029 +/- 0.061 mumol Phe min(-1) at 15degreesC; Phe = phenylalanine) were higher compared with lysates of A. opercularis (0.087 +/- 0.013 mumol Phe min(-1) at 15degreesC and 0.156 +/- 0.023 mumol Phe min(-1) at 25degreesC). This can in part be attributed to the naturally occurring higher RNA content in lysates of A. colbecki (0.883 +/- 0.037 mg RNA mL(-1) lysate) compared with A. opercularis (0.468 +/- 0.013 mg RNA mL(-1) lysate). There was no significant difference in the energetic costs of protein synthesis in cell- free systems of gill lysates of the cold stenothermal A. colbecki with 4.3 +/- 0.7 energy equivalents per peptide bond formed and the eurythermal A. opercularis with 5.6 +/- 0.6 energy equivalents, indicating that there are no differences in the efficiency of the translation machinery. The energetic costs specified for protein synthesis correspond with the generally accepted theoretical value of four energy equivalents per peptide bond formed, especially in gill lysates of A. colbecki, whereas the value for gill lysates of A. opercularis was slightly higher.</t>
  </si>
  <si>
    <t>Alfred Wegener Inst Polar &amp; Marine Res, D-27568 Bremerhaven, Germany</t>
  </si>
  <si>
    <t>Pörtner, HO (corresponding author), Alfred Wegener Inst Polar &amp; Marine Res, Columbusstr, D-27568 Bremerhaven, Germany.</t>
  </si>
  <si>
    <t>Pörtner, Hans-O./0000-0001-6535-6575; Storch, Daniela/0000-0003-3090-7554</t>
  </si>
  <si>
    <t>UNIV CHICAGO PRESS</t>
  </si>
  <si>
    <t>CHICAGO</t>
  </si>
  <si>
    <t>1427 E 60TH ST, CHICAGO, IL 60637-2954 USA</t>
  </si>
  <si>
    <t>1522-2152</t>
  </si>
  <si>
    <t>PHYSIOL BIOCHEM ZOOL</t>
  </si>
  <si>
    <t>Physiol. Biochem. Zool.</t>
  </si>
  <si>
    <t>10.1086/367945</t>
  </si>
  <si>
    <t>Physiology; Zoology</t>
  </si>
  <si>
    <t>670JU</t>
  </si>
  <si>
    <t>WOS:000182404800003</t>
  </si>
  <si>
    <t>van den Hoff, J; Burton, H; Davies, R</t>
  </si>
  <si>
    <t>Diet of male southern elephant seals (Mirounga leonina L.) hauled out at Vincennes Bay, East Antarctica</t>
  </si>
  <si>
    <t>POLAR BIOLOGY</t>
  </si>
  <si>
    <t>APTENODYTES-FORSTERI; STOMACH CONTENTS; CEPHALOPOD PREY; HEARD-ISLAND</t>
  </si>
  <si>
    <t>Male southern elephant seals (Mirounga leonina) are the largest of the pinnipeds and their foraging migrations take them from their breeding sites to Antarctica where some remain to moult. During February and March 2000, we stomach lavaged 23 male elephant seals that had migrated to a moult location in the Windmill Islands (66degrees30'S, 110degrees30'E) on the Antarctic coast. In the 8 stomachs that contained prey remains, we found beaks from 2 squid species (Alluroteuthis antarcticus, n = 2, and Psychroteuthis glacialis, n = 9), remains of 1 unidentified benthic fish species, 16 specimens of Euphausia crystallorophias and 1 mysid species. This is in contrast to the maximum of 17 squid and 4 fish taxa identified from stomachs sampled at Heard and Macquarie Islands, and the 7 squid taxa identified from seals at King George Island in the South Shetland Islands. Elephant seals appear to be a seasonally important component of the Antarctic marine ecosystem. Antarctic squid species, such as P. glacialis, may constitute the most important cephalopod prey for southern elephant seals that forage at high latitudes of the Southern Ocean. If the commercial potential for P. glacialis is realised, there is also potential for competition between the fishery and the seals.</t>
  </si>
  <si>
    <t>van den Hoff, J (corresponding author), Australian Antarctic Div, Channel Highway, Kingston, Tas 7050, Australia.</t>
  </si>
  <si>
    <t>0722-4060</t>
  </si>
  <si>
    <t>POLAR BIOL</t>
  </si>
  <si>
    <t>Polar Biol.</t>
  </si>
  <si>
    <t>10.1007/s00300-002-0447-y</t>
  </si>
  <si>
    <t>Biodiversity Conservation; Ecology</t>
  </si>
  <si>
    <t>Biodiversity &amp; Conservation; Environmental Sciences &amp; Ecology</t>
  </si>
  <si>
    <t>637WE</t>
  </si>
  <si>
    <t>WOS:000180536100005</t>
  </si>
  <si>
    <t>Clausen, A; Pütz, K</t>
  </si>
  <si>
    <t>Winter diet and foraging range of gentoo penguins (Pygoscelis papua) from Kidney Cove, Falkland Islands</t>
  </si>
  <si>
    <t>SPHENISCUS-MAGELLANICUS; EUDYPTES-CHRYSOCOME; ROCKHOPPER PENGUINS; MACARONI PENGUINS; ATTACHMENT; MOVEMENTS; TRENDS</t>
  </si>
  <si>
    <t>The winter diet and foraging range of gentoo penguins, Pygoscelis Papua, were studied at Kidney Cove, Falkland Islands. The mean wet mass of the 56 stomach-content samples collected from May to October was 32.7+/-47.4 g. The diet consisted generally of cephalopods, crustaceans and fish, as well as two other molluscs. Among the six cephalopod species identified, the commercially fished Patagonian squid, Loligo gahi, had the highest abundance and was also the main prey by reconstituted mass (53% of the total reconstituted mass). Lobster krill, Munida gregaria, one of five species of crustaceans, was the most abundant prey species by frequency of occurrence and by number (68% and 60%, respectively). Rock cod, Patagonotothen ramsayi, accounted for the majority of the fish diet with 34% of the total reconstituted mass. Most prey species identified in the winter diet were also abundant diet components during the breeding season. However, the known biology of the prey species and their rate of digestion indicated that, in winter, adults may forage further offshore than during the breeding season. This assumption was supported by the results obtained from two birds satellite-tracked during the study period. Both birds remained mainly in inshore waters and returned frequently ashore, but one penguin foraged up to 276 km from the coast. The differences in the foraging behaviour of the two birds were reflected in significant differences with regard to time spent underwater, distance travelled per day and calculated travelling speed. Furthermore, the progress of cohorts of L. gahi over the winter is consistent with results from life-cycle studies in this region and suggests that birds have been foraging in the feeding grounds of L. gahi.</t>
  </si>
  <si>
    <t>Antarctic Res Trust, Stanley, Falkland Isl, England; Falklands Conservat, Stanley, Falkland Isl, England</t>
  </si>
  <si>
    <t>K.Putz@SurfEU.de</t>
  </si>
  <si>
    <t>Puetz, Klemens/0000-0003-1375-2669</t>
  </si>
  <si>
    <t>1432-2056</t>
  </si>
  <si>
    <t>10.1007/s00300-002-0443-2</t>
  </si>
  <si>
    <t>WOS:000180536100006</t>
  </si>
  <si>
    <t>Casaux, R; Baroni, A; Ramón, A</t>
  </si>
  <si>
    <t>Diet of antarctic fur seals Arctocephalus gazella at the Danco Coast, Antarctic Peninsula</t>
  </si>
  <si>
    <t>SOUTH-SHETLAND-ISLANDS; SUMMER-AUTUMN PERIOD; FISH PREY; ORKNEY ISLANDS; HARMONY-POINT; LAURIE ISLAND; HEARD ISLAND; WINTER; MYCTOPHIDAE; CONSUMPTION</t>
  </si>
  <si>
    <t>The diet of non-breeding male Antarctic fur seals, Arctocephalus gazella, was investigated at the Danco Coast, Antarctic Peninsula, by the analysis of 31 and 149 scats collected from January to March 1998 and 2000, respectively. Overall, fish and krill, followed by penguins and squids, were the most frequent prey and constituted the bulk of the diet. The importance of the remaining taxa represented in the samples (octopods, gastropods, bivalves, isopods, polychaetes and poriferans) was negligible. Among fish, channichthyids constituted the bulk of the diet, with Chionodraco rastrospinosus and Chaenodraco wilsoni, followed by the nototheniid, Pleuragramma antarcticum, being the main prey. The myctophid, Electrona antarctica, was the most frequent and numerous fish prey. The results are discussed and compared with those reported for the South Shetland Islands, the closest area for which similar information is available.</t>
  </si>
  <si>
    <t>Inst Antartico Argentino, RA-1010 Buenos Aires, DF, Argentina; Univ Buenos Aires, Fac Farm &amp; Bioquim, RA-1113 Buenos Aires, DF, Argentina; Univ La Plata, Fac Med, RA-1900 La Plata, Argentina</t>
  </si>
  <si>
    <t>Instituto Antartico Argentino; University of Buenos Aires; National University of La Plata</t>
  </si>
  <si>
    <t>Casaux, R (corresponding author), Inst Antartico Argentino, Cerrito 1248, RA-1010 Buenos Aires, DF, Argentina.</t>
  </si>
  <si>
    <t>10.1007/s00300-002-0442-3</t>
  </si>
  <si>
    <t>WOS:000180536100008</t>
  </si>
  <si>
    <t>Graeve, M; Wehrtmann, IS</t>
  </si>
  <si>
    <t>Lipid and fatty acid composition of Antarctic shrimp eggs (Decapoda: Caridea)</t>
  </si>
  <si>
    <t>WAX ESTERS; BIOCHEMICAL-COMPOSITION; EMBRYONIC-DEVELOPMENT; LATITUDINAL VARIATION; REPRODUCTIVE-BIOLOGY; NORTHERN NORWAY; MARINE COPEPODS; SOUTH GEORGIA; WEDDELL SEA; ZOOPLANKTON</t>
  </si>
  <si>
    <t>Eggs of the decapod shrimps, Chorismus antarcticus, Nematocarcinus lanceopes and Notocrangon antarcticus were taken to analyse their morphometric, lipid and fatty acid composition. Almost all females carried undifferentiated eggs (stage 1). The average number of recently extruded eggs was lowest in C. antarcticus with 163 eggs, and highest in Nematocarcinus lanceopes with 1,220 eggs, while Notocrangon antarcticus produced on average 350 eggs. The lipid content (% of dry mass) of the eggs was 18.8% for C. antarcticus, 14.3% for Notocrangon antarcticus and 18.1% for Nematocarcinus lanceopes. Dominant lipid classes in eggs of all species were phospholipids and triacylglycerols. The storage lipid, triacylglycerol, was slightly elevated in the eggs of Nematocarcinus lanceopes (mean of 52.7%) compared to the other two species. The fatty acid compositions of the decapod eggs were similar in the three species. Dominant fatty acids were 20:5(n-3), 18:1 (n-9), 16:1 (n-7), 16:0 and 18:1 (n-7), comprising 75.8-78.4% of total fatty acids. Among the species, the eggs of C. antarcticus had the highest proportions of polyunsaturated fatty acids (39.6%), dominated by 20:5(n-3), and the lowest percentage of monounsaturates (41.8%). The eggs of Nematocarcinus lanceopes and Notocrangon antarcticus contained almost the same proportion of polyunsaturated fatty acids (28.0% and 28.4%, respectively), whereas Nematocarcinus lanceopes had the highest amount of monounsaturates due to the dominance of 18:1(n-9). Based on our findings, we assume that eggs produced by polar decapod crustaceans do not contain substantially more lipids than related species dfrom temperate or tropical regions. However, additional studies are necessary to substantiate any general conclusion about the relationship of egg lipid content and composition with climatic zones.</t>
  </si>
  <si>
    <t>Alfred Wegener Inst Polar &amp; Marine Res, D-27570 Bremerhaven, Germany; Univ Costa Rica, Escuela Biol, San Jose 2060, Costa Rica</t>
  </si>
  <si>
    <t>Helmholtz Association; Alfred Wegener Institute, Helmholtz Centre for Polar &amp; Marine Research; Universidad Costa Rica</t>
  </si>
  <si>
    <t>Graeve, M (corresponding author), Alfred Wegener Inst Polar &amp; Marine Res, Handelshafen 12, D-27570 Bremerhaven, Germany.</t>
  </si>
  <si>
    <t>Wehrtmann, Ingo/AIB-9968-2022; Graeve, Martin/B-5751-2017</t>
  </si>
  <si>
    <t>Graeve, Martin/0000-0002-2294-1915; Wehrtmann, Ingo/0000-0002-6826-7938</t>
  </si>
  <si>
    <t>10.1007/s00300-002-0440-5</t>
  </si>
  <si>
    <t>WOS:000180536100009</t>
  </si>
  <si>
    <t>Cockell, CS; Rettberg, P; Horneck, G; Scherer, K; Stokes, MD</t>
  </si>
  <si>
    <t>Measurements of microbial protection from ultraviolet radiation in polar terrestrial microhabitats</t>
  </si>
  <si>
    <t>SOLAR UV-RADIATION; OZONE DEPLETION; BACILLUS-SUBTILIS; ANTARCTICA; DOSIMETRY; CYANOBACTERIA; BIOFILM; AMPLIFICATION; ENVIRONMENTS; SCYTONEMIN</t>
  </si>
  <si>
    <t>Biological dosimeters made from a monolayer of Bacillus subtilis spores were used to investigate the penetration of ultraviolet radiation into some widespread terrestrial microbial microhabitats at polar latitudes: at Mars Oasis (72 S) and Rothera Station (67 S) (UK) in the Antarctic (November 2000) and on Devon Island, Canadian High Arctic (75degreesN) (July 2000 and 2001). Layers of soil or dust of greater than or equal to500 pm thickness, particularly in ice-free regions of the Arctic, could reduce UV exposure such that no inactivation of spores could be measured after 3 days. Control spores were killed in 24 h. Spores in artificial cryptoendolithic habitats with similar to1 mm rock covering obtained a reduction of UV radiation-induced inactivation of at least 2 orders of magnitude. Hypolithic spores were protected against any inactivation for at least 4 days. Snow covers of between 5 and 15 cm thickness, depending on age and heterogeneity, attenuated UV radiation by an order of magnitude, although snow cover is seasonal and subject to climatic factors. These dosimetric data demonstrate that, except for microbes on the surface of soil grains, many terrestrial microbial communities are well protected from incident UV radiation by a variety of physical and biological coverings. This is in contrast to data reported for many polar aquatic microbial taxa, and might imply a greater robustness of terrestrial microbial communities against the effects of ozone depletion.</t>
  </si>
  <si>
    <t>British Antarctic Survey, Cambridge CB3 0ET, England; German Aerosp Ctr, Inst Aerosp Med, D-51170 Cologne, Germany; Scripps Inst Oceanog, Marine Phys Lab, La Jolla, CA 92037 USA</t>
  </si>
  <si>
    <t>UK Research &amp; Innovation (UKRI); Natural Environment Research Council (NERC); NERC British Antarctic Survey; Helmholtz Association; German Aerospace Centre (DLR); University of California System; University of California San Diego; Scripps Institution of Oceanography</t>
  </si>
  <si>
    <t>Cockell, CS (corresponding author), British Antarctic Survey, High Cross,Madingley Rd, Cambridge CB3 0ET, England.</t>
  </si>
  <si>
    <t>Rettberg, Petra/AAI-4493-2021</t>
  </si>
  <si>
    <t>Rettberg, Petra/0000-0003-4439-2395</t>
  </si>
  <si>
    <t>10.1007/s00300-002-0438-z</t>
  </si>
  <si>
    <t>WOS:000180536100010</t>
  </si>
  <si>
    <t>Ackley, S; Wadhams, P; Comiso, JC; Worby, AP</t>
  </si>
  <si>
    <t>Decadal decrease of Antarctic sea ice extent inferred from whaling records revisited on the basis of historical and modern sea ice records</t>
  </si>
  <si>
    <t>POLAR RESEARCH</t>
  </si>
  <si>
    <t>Workshop on Sea Ice Extent and the Global Climate System</t>
  </si>
  <si>
    <t>APR 15-17, 2002</t>
  </si>
  <si>
    <t>In previous work, whaling catch positions were used as a proxy record for the position of the Antarctic sea ice edge and mean sea ice extent greater than the present one spanning 2.8degrees latitude was postulated to have occurred in the pre-1950s period, compared to extents observed since 1973 from microwave satellite imagery. The previous conclusion of an extended northern latitude for ice extent in the earlier epoch applied only to the January (mid-summer) period. For this summer period, however, there are also possible differences between ship and satellite-derived measurements. Our work showed a consistent summer offset (November-December), with the ship-observed ice edge 1 - 1.5degrees north of the satellite-derived ice edge. We further reexamine the use of whale catch as an ice edge proxy where agreement was claimed between the satellite ice edge (1973-1987) and the ship whale catch positions. This examination shows that, while there may be a linear correlation between ice edge position and whale catch data, the slope of the line deviates from unity and the ice edge is also further north in the whale catch data than in the satellite data for most latitudes. We compare the historical (direct) record and modern satellite maps of ice edge position accounting for these differences in ship and satellite observations. This comparison shows that only regional perturbations took place earlier, without significant deviations in the mean ice extents, from the pre-1950s to the post-1970s. This conclusion contradicts that previously stated from the analysis of whale catch data that indicated Antarctic sea ice extent changes were circumpolar rather than regional in nature between the two periods.</t>
  </si>
  <si>
    <t>Clarkson Univ, Dept Civil &amp; Environm Engn, Potsdam, NY 13699 USA; Univ Cambridge, Dept Appl Math &amp; Theoret Phys, Cambridge CB3 0WA, England; NASA, Goddard Space Flight Ctr, Lab Hydrospher Proc, Greenbelt, MD 20771 USA; Univ Tasmania, Antarctic Cooperat Res Ctr, Hobart, Tas 7001, Australia; Australian Antarctic Div, Hobart, Tas 7001, Australia</t>
  </si>
  <si>
    <t>Clarkson University; University of Cambridge; National Aeronautics &amp; Space Administration (NASA); NASA Goddard Space Flight Center; University of Tasmania; Australian Antarctic Division</t>
  </si>
  <si>
    <t>Clarkson Univ, Dept Civil &amp; Environm Engn, Potsdam, NY 13699 USA.</t>
  </si>
  <si>
    <t>sackley@pol.net</t>
  </si>
  <si>
    <t>NORWEGIAN POLAR INST</t>
  </si>
  <si>
    <t>TROMSO</t>
  </si>
  <si>
    <t>POLAR ENVIRONMENTAL CENTRE, HJALMAR JOHANSENSGATE 14, TROMSO, FRAMSENTERET, NORWAY</t>
  </si>
  <si>
    <t>0800-0395</t>
  </si>
  <si>
    <t>1751-8369</t>
  </si>
  <si>
    <t>POLAR RES</t>
  </si>
  <si>
    <t>Polar Res.</t>
  </si>
  <si>
    <t>10.1111/j.1751-8369.2003.tb00091.x</t>
  </si>
  <si>
    <t>Ecology; Geosciences, Multidisciplinary; Oceanography</t>
  </si>
  <si>
    <t>Environmental Sciences &amp; Ecology; Geology; Oceanography</t>
  </si>
  <si>
    <t>696WB</t>
  </si>
  <si>
    <t>WOS:000183909600004</t>
  </si>
  <si>
    <t>Fichefet, T; Goosse, H; Maqueda, MAM</t>
  </si>
  <si>
    <t>A hindcast simulation of Arctic and Antarctic sea ice variability, 1955-2001</t>
  </si>
  <si>
    <t>WEDDELL SEA; REANALYSIS; TRENDS; EXTENT; THICKNESS; DECREASE; OCEAN</t>
  </si>
  <si>
    <t>A hindcast simulation of the Arctic and Antarctic sea ice variability during 1955-2001 has been performed with a global, coarse resolution ice-ocean model driven by the National Centers for Environmental Prediction/National Center for Atmospheric Research reanalysis daily surface air temperatures and winds. Both the mean state and variability of the ice packs over the satellite observing period are reasonably well reproduced by the model. Over the 47-year period, the simulated ice area (defined as the total ice-covered oceanic area) in each hemisphere experiences large decadal variability together with a decreasing trend of similar to1 % per decade. In the Southern Hemisphere, this trend is mostly caused by an abrupt retreat of the ice cover during the second half of the 1970s and the beginning of the 1980s. The modelled ice volume also exhibits pronounced decadal variability, especially in the Northern Hemisphere. Besides these fluctuations, we detected a downward trend in Arctic ice volume of 1.8 % per decade and an upward trend in Antarctic ice volume of 1.5 % per decade. However, caution must be exercised when interpreting these trends because of the shortness of the simulation and the strong decadal variations. Furthermore, sensitivity experiments have revealed that the trend in Antarctic ice volume is model-dependent.</t>
  </si>
  <si>
    <t>Catholic Univ Louvain, Inst Astron &amp; Geophys Georges Lemaitre, B-1348 Louvain, Belgium; Potsdam Inst Klimafolgenforsch, D-14412 Potsdam, Germany</t>
  </si>
  <si>
    <t>Universite Catholique Louvain; Potsdam Institut fur Klimafolgenforschung</t>
  </si>
  <si>
    <t>Catholic Univ Louvain, Inst Astron &amp; Geophys Georges Lemaitre, Chemin Cyclotron 2, B-1348 Louvain, Belgium.</t>
  </si>
  <si>
    <t>fichefet@astr.ucl.ac.be</t>
  </si>
  <si>
    <t>Maqueda, Miguel Angel Morales/AAJ-8138-2020</t>
  </si>
  <si>
    <t>10.1111/j.1751-8369.2003.tb00100.x</t>
  </si>
  <si>
    <t>WOS:000183909600013</t>
  </si>
  <si>
    <t>Winther, JG; Bruland, O; Sand, K; Gerland, S; Marechal, D; Ivanov, B; Glowacki, P; König, M</t>
  </si>
  <si>
    <t>Snow research in Svalbard -: an overview</t>
  </si>
  <si>
    <t>DENSITY-DEPENDENCE; FIELD OBSERVATIONS; SATELLITE; ICE; SURFACE; VARIABILITY; SPITSBERGEN; RADIATION; GLACIERS; CLIMATE</t>
  </si>
  <si>
    <t>This paper summarizes the most significant snow-related research that has been conducted in Svalbard. Most of the research has been performed during the 1990s and includes investigations of snow distribution, snowmelt, snow pack characteristics, remote sensing of snow and biological studies where snow conditions play an important role. For example, studies have shown regional trends with about 50% higher amounts of snow accumulation at the east coast of Spitsbergen compared to the west coast. Further, the accumulation rates are about twice as high in the south compared to the north. On average, the increase in accumulation with elevation is 97 mm water equivalents per 100 m increase in elevation. Several researchers reported melt rates, which are primarily driven by incoming short-wave radiation, in the range of 10 - 20 mm/day during spring. Maximum melt rates close to 70 mm/day have been measured. In addition to presenting an overview of research activities, we discuss new, unpublished results in areas where considerable progress is being made. These are i) modelling of snow distribution, ii) modelling of snowmelt runoff and iii) monitoring of snow coverage by satellite imagery. We also identify some weaknesses in current research activities. They are lacks of i) integration between various studies, ii) comparative studies with other Arctic regions, iii) applying local field studies in models that can be used to study larger areas of Svalbard and, finally, iv) using satellite remote sensing data for operational monitoring purposes.</t>
  </si>
  <si>
    <t>Norwegian Polar Res Inst, Polar Environm Ctr, NO-9296 Tromso, Norway; Norwegian Inst Technol, NO-7465 Trondheim, Norway; Cranfield Univ, Inst Water &amp; Environm, Silsoe MK45 4DT, Beds, England; Arctic &amp; Antarctic Res Inst, St Petersburg 199397, Russia; Polish Acad Sci, Inst Geophys, PL-01452 Warsaw, Poland</t>
  </si>
  <si>
    <t>Norwegian Polar Institute; Norwegian University of Science &amp; Technology (NTNU); Cranfield University; Arctic &amp; Antarctic Research Institute; Polish Academy of Sciences; Institute of Geophysics of the Polish Academy of Sciences</t>
  </si>
  <si>
    <t>Winther, JG (corresponding author), Norwegian Polar Res Inst, Polar Environm Ctr, NO-9296 Tromso, Norway.</t>
  </si>
  <si>
    <t>POLAR ENVIRONMENTAL CENTRE, N-9296 TROMSO, NORWAY</t>
  </si>
  <si>
    <t>10.1111/j.1751-8369.2003.tb00103.x</t>
  </si>
  <si>
    <t>758DY</t>
  </si>
  <si>
    <t>WOS:000187618900002</t>
  </si>
  <si>
    <t>Howe, JA; Moreton, SG; Morri, C; Morris, P</t>
  </si>
  <si>
    <t>Multibeam bathymetry and the depositional environments of Kongsfjorden and Krossfjorden, western Spitsbergen, Svalbard</t>
  </si>
  <si>
    <t>NORTHWEST SPITSBERGEN; CONTINENTAL-MARGIN; GLACIAL MAXIMUM; ICE-SHEET; HISTORY; FJORDS; FACIES; SEDIMENTATION; EXTENT</t>
  </si>
  <si>
    <t>Kongsfjorden and Krossfjorden are two ice-proximal fjords on the western coast of Spitsbergen which have been surveyed using multibeam bathymetry, sub-bottom profiling and gravity coring. Central and outer Kongsfjorden is dominated by a 30 km(2) outcrop of bedrock, with a thin (&lt; 10 m) sediment cover. The bedrock displays a relict sub-glacial, ice-scoured topography produced during the glacial re-advances of the Weichselian (20 Ky BP) and again during the last major Holocene re-advance of the Little Ice Age (550 - 200 yrs BP). Drumlins and glacial flutes are common across the floor of Kongsfjorden, with lengths of 1.5-2.5 km and widths of &lt; 100 m, rising up to 10 m in water depths of &lt; 100 m. This topography is smoothed by bottom currents from the wind-driven forcing of surface waters. The flow is counter-clockwise, matching boundary layer movement under the influence of Coriolis force. Both fjords are characterized by a variable acoustic character, based on sub-bottom profile data. The deepest basins are dominated by parallel, well-laminated reflectors and an irregular-transparent acoustic character indicating the presence of Holocene-age fine-grained sediments up to 30 m thick. A parallel, irregular-transparent acoustic character with waveform morphology in inner Kongsfjorden is interpreted as moraines, originating from the 1948 and 1869 surges of Kronebreen glacier. Mass-flows are common on the flanks of topographic highs as acoustically chaotic-transparent lensoid and wedge-shaped reflectors. The sediments of outer and central Kongsfjorden are characterized by bioturbated, gas-rich homogeneous muds interpreted as being the result of the settling of fine-grained sediment and particulate suspensions.</t>
  </si>
  <si>
    <t>Scottish Assoc Marine Sci, Dunstaffnage Marine Res Lab, Oban PA37 1IQ, Argyll, Scotland; Scottish Enterprise Technol Pk, NERC Radiocarbon Lab, Glasgow G75 0QF, Lanark, Scotland; British Antarctic Survey, Cambridge CB3 0ET, England</t>
  </si>
  <si>
    <t>UK Research &amp; Innovation (UKRI); Natural Environment Research Council (NERC); NERC British Geological Survey; Scottish Universities Research &amp; Reactor Center; UK Research &amp; Innovation (UKRI); Natural Environment Research Council (NERC); NERC British Antarctic Survey</t>
  </si>
  <si>
    <t>Scottish Assoc Marine Sci, Dunstaffnage Marine Res Lab, Oban PA37 1IQ, Argyll, Scotland.</t>
  </si>
  <si>
    <t>jaho@dml.ac.uk</t>
  </si>
  <si>
    <t>Moreton, Steven G/C-2373-2009</t>
  </si>
  <si>
    <t>Moreton, Steven G/0000-0002-8030-2433</t>
  </si>
  <si>
    <t>10.1111/j.1751-8369.2003.tb00114.x</t>
  </si>
  <si>
    <t>WOS:000187618900013</t>
  </si>
  <si>
    <t>Wright, JH; Reed, MJ; Schei, K; Bowser, SS</t>
  </si>
  <si>
    <t>ISEE</t>
  </si>
  <si>
    <t>Results of underwater shock wave monitoring in blasting access holes in thick sea ice, McMurdo Sound, Antarctica</t>
  </si>
  <si>
    <t>PROCEEDINGS OF THE TWENTY-NINTH ANNUAL CONFERENCE ON EXPLOSIVES AND BLASTING TECHNIQUE, VOL 2</t>
  </si>
  <si>
    <t>29th Annual Conference on Explosives and Blasting Technique</t>
  </si>
  <si>
    <t>FEB 02-05, 2003</t>
  </si>
  <si>
    <t>Nashville, TN</t>
  </si>
  <si>
    <t>From October 18 through October 21, 2001, United States Antarctic Program blasters opened ten access holes for research divers in 11-ft. thick sea ice at Explorers Cove, McMurdo Sound, Antarctica. During this project, a blasting seismograph with a hydrophone accessory was used to monitor the underwater shock waves associated with the blasting technique. Shock wave values averaged 42.3 psi for initial (cratering) shots and 5.9 for subsequent clearing shots, indicating that the ice absorbs most of the shock wave. The results also provide data for refining safety protocols for divers and for the protection of marine biota.</t>
  </si>
  <si>
    <t>INT SOC EXPLOSIVES ENGINEERS</t>
  </si>
  <si>
    <t>CLEVELAND</t>
  </si>
  <si>
    <t>29100 AURORA ROAD, CLEVELAND, OH 44139-1800 USA</t>
  </si>
  <si>
    <t>Engineering, Mechanical; Mining &amp; Mineral Processing</t>
  </si>
  <si>
    <t>Engineering; Mining &amp; Mineral Processing</t>
  </si>
  <si>
    <t>BAT24</t>
  </si>
  <si>
    <t>WOS:000223422800018</t>
  </si>
  <si>
    <t>Hosie, GW; Fukuchi, M; Kawaguchi, S</t>
  </si>
  <si>
    <t>Development of the Southern Ocean Continuous Plankton Recorder survey</t>
  </si>
  <si>
    <t>PROGRESS IN OCEANOGRAPHY</t>
  </si>
  <si>
    <t>70th Symposium of the CPR Survey</t>
  </si>
  <si>
    <t>AUG 07, 2001</t>
  </si>
  <si>
    <t>EDINBURGH, SCOTLAND</t>
  </si>
  <si>
    <t>Continuous Plankton Recorder; zooplankton; Southern Ocean; plankton survey</t>
  </si>
  <si>
    <t>ABANDONED LARVACEAN HOUSES; CYCLOPOID COPEPOD OITHONA; LONG-TERM VARIABILITY; SEA-ICE EXTENT; PRYDZ BAY; NORTH-SEA; MACROZOOPLANKTON COMMUNITY; MESOSCALE DISTRIBUTION; ANTARCTIC PENINSULA; AUSTRAL SUMMER</t>
  </si>
  <si>
    <t>The Continuous Plankton Recorder (CPR) Type I was first used in Antarctic waters during the 1925-1927 Discovery Expedition, and has been used successfully for 70 years to monitor plankton in the North Sea and North Atlantic Ocean. Sixty-five years later the CPR as a Type II version returned to Antarctic waters when the Australian Antarctic Division initiated a survey of the Southern Ocean on RSV Aurora Australis south of Australia and west to Mawson. The objectives are to study regional, seasonal, interannual and long-term variability in zooplankton abundance, species composition and community patterns, as well as the annual abundance and distribution of krill larvae. The survey covers a large area from 60degreesE to 160degreesE, and south from about 48degreesS to the Antarctic coast-an area of more than 14 million km(2). Tows are conducted throughout the shipping season, normally September to April, but occasionally as early as July (midwinter). The large areal and temporal scale means that it is difficult to separate temporal and geographical variation in the data. Hence, CPRs are now also towed on the Japanese icebreaker Shirase in collaboration with the Japanese Antarctic programme. Shirase has a fixed route and time schedule, travelling south on 110degreesE in early December and north on 150degreesE in mid-March each year, and will serve as an important temporal reference for measuring long-term interannual variability and to help interpret the Australian data. Since 1991, over 90 tows have been made, providing over 36,000 nautical miles of records. The most successful seasons to date have been the 1997/1998, 1999/2000 and 2000/2001 austral summers with 20, 31 and 26 tows, respectively. The 1999/2000 season included a unique, nearly simultaneous three-ship crossing of the Southern Ocean along 25degrees 30'E, 110degreesE and 157degreesE. Typical CPR tows show very high abundance of zooplankton in the uppermost 20 m of the permanently open ocean zone between the sea-ice zone and the Sub-Antarctic Front; this is an area thought to be oligotrophic. Appendicularians and small calanoid and cyclopoid copepods dominate the plankton. By comparison the surface waters of the sea-ice zone have low species diversity and abundances. Zooplankton data, and hence distribution patterns, can be time- and geo-coded to GPS data and environmental data collected by the ships' underway monitoring system (e.g. fluorescence, water temperature, salinity, and meteorological data). (C) 2003 Elsevier Ltd. All rights reserved.</t>
  </si>
  <si>
    <t>Australian Antarctic Div, Kingston, Tas 7050, Australia; Natl Inst Polar Res, Ctr Antarct Environm Monitoring, Itabashi Ku, Tokyo 1738515, Japan; Natl Res Inst Far Seas Fisheries, Shimizu, Shizuoka 4248633, Japan</t>
  </si>
  <si>
    <t>Australian Antarctic Division; Research Organization of Information &amp; Systems (ROIS); National Institute of Polar Research (NIPR) - Japan; Japan Fisheries Research &amp; Education Agency (FRA)</t>
  </si>
  <si>
    <t>Hosie, GW (corresponding author), Australian Antarctic Div, Channel Highway, Kingston, Tas 7050, Australia.</t>
  </si>
  <si>
    <t>Kawaguchi, So/N-1795-2017</t>
  </si>
  <si>
    <t>Kawaguchi, So/0000-0002-2042-5095</t>
  </si>
  <si>
    <t>0079-6611</t>
  </si>
  <si>
    <t>PROG OCEANOGR</t>
  </si>
  <si>
    <t>Prog. Oceanogr.</t>
  </si>
  <si>
    <t>2-4</t>
  </si>
  <si>
    <t>10.1016/j.pocean.2003.08.007</t>
  </si>
  <si>
    <t>745FH</t>
  </si>
  <si>
    <t>WOS:000186678300007</t>
  </si>
  <si>
    <t>Nof, D</t>
  </si>
  <si>
    <t>The Southern Ocean's grip on the northward meridional flow</t>
  </si>
  <si>
    <t>ANTARCTIC CIRCUMPOLAR CURRENT; FLUX-CORRECTED TRANSPORT; WIND-DRIVEN; AGULHAS RETROFLECTION; MOMENTUM BALANCE; ATLANTIC-OCEAN; ALTIMETER DATA; NUMERICAL-MODEL; WORLD OCEAN; BETA-PLANE</t>
  </si>
  <si>
    <t>A 'quasi-island' approach for examining the meridional flux of warm and intermediate water from the Southern Ocean into the South Atlantic, the South Pacific and the Indian Ocean has recently been proposed (Nof, 2000a, 2002). This approach considers the continents to be 'pseudo islands' in the sense that they are entirely surrounded by water, but have no circulation around them. The method employs an integration of the linearized momentum equations along a closed contour containing the continents. This allows the meridional transport into these oceans to be computed without having to find the detailed solution to the complete wind-thermohaline problem. The solution gives two results; one expected, the other unexpected. It shows that, as expected, about 9 +/- 5 Sv of upper and intermediate water enter the South Atlantic from the Southern Ocean. The unexpected result is that the Pacific-Indian Ocean system should contain a 'shallow' meridional overturning cell carrying 18 +/- 5 Sv. What is meant by shallow here is that the cell does not extend all the way to the bottom (as it does in the Atlantic) but is terminated at mid-depth. (This reflects the fact that there is no bottom water formation in the Pacific.) Both of these calculations rely on the observation that there is almost no flow through the Bering Strait and on the assumption that there is a negligible pressure torque on the Bering Strait's sill. Here, we present a new and different approach, which does not rely on either of the above two conditions regarding the Bering Strait and yet gives essentially the same result. The approach does not involve any quasi-island calculation but rather employs an integration of the linearized zonal momentum equation along a closed open-water latitudinal belt connecting the tips of South Africa and South America. The integration relies on the existence of a belt (corridor) where the linearized general circulation equations are valid. It allows for a net northward mass flux through either the Sverdrup interior or the western boundary currents. It is found that the belt-corridor approach gives 29 +/- 5 Sv for the total meridional flux of surface and intermediate water from the Southern Ocean. This agrees very well with the quasi-island calculations, which give a total northward flux of 27 +/- 5 Sv. Given the spacing between the continents and the small variability of the southern winds with longitude, one may assume that 9 Sv of the total 29 Sv enters the Atlantic and the other 20 Sv enters the combined Pacific-Indian Ocean system, which is also in agreement with the quasi-island calculation. These agreements indicate that the assumptions made in the earlier studies regarding the Bering Strait are probably valid. (C) 2003 Elsevier Science Ltd. All rights reserved.</t>
  </si>
  <si>
    <t>Florida State Univ, Dept Oceanog 4320, Tallahassee, FL 32306 USA; Florida State Univ, Geophys Fluid Dynam Inst, Tallahassee, FL 32306 USA</t>
  </si>
  <si>
    <t>State University System of Florida; Florida State University; State University System of Florida; Florida State University</t>
  </si>
  <si>
    <t>Florida State Univ, Dept Oceanog 4320, Tallahassee, FL 32306 USA.</t>
  </si>
  <si>
    <t>nof@ocean.fsu.edu</t>
  </si>
  <si>
    <t>10.1016/S0079-6611(03)00005-3</t>
  </si>
  <si>
    <t>676PA</t>
  </si>
  <si>
    <t>WOS:000182759900002</t>
  </si>
  <si>
    <t>Ruddick, B; Richards, K</t>
  </si>
  <si>
    <t>Oceanic thermohaline intrusions: observations</t>
  </si>
  <si>
    <t>ANTARCTIC POLAR FRONT; SMALL-SCALE STRUCTURE; MEDITERRANEAN SALT LENS; FINE-STRUCTURE; DOUBLE DIFFUSION; ARCTIC-OCEAN; SLOPE WATER; TEMPERATURE INVERSIONS; HALINE STRATIFICATION; INTERMEDIATE WATER</t>
  </si>
  <si>
    <t>Intrusions are commonly observed in the upper, deep and coastal oceans, and are closely linked to lateral fluxes of heat, salt and momentum. This is a review of observations of intrusions and the results of comparisons of properties such as scale, slopes, microstructure activity, and fluxes with theoretical models. A summary of estimates of lateral heat fluxes indicates a wide range of lateral diffusivities. We conclude by noting that our present knowledge is insufficient to predict the structure, length-scales and lateral fluxes of thermohaline intrusions with confidence, and list a number of unresolved questions. Suggestions are made for compilation of existing data into a database for exploratory analysis and testing of theoretical hypotheses. An outline is given of a potential collaborative field experiment using CTD, fluorescent dye, and microstructure observations. (C) 2003 Elsevier Science Ltd. All rights reserved.</t>
  </si>
  <si>
    <t>Dalhousie Univ, Dept Oceanog, Halifax, NS B3H 4J1, Canada; Southampton Oceanog Ctr, Sch Ocean &amp; Earth Sci, Southampton SO14 3ZH, Hants, England</t>
  </si>
  <si>
    <t>Dalhousie University; University of Southampton; NERC National Oceanography Centre</t>
  </si>
  <si>
    <t>Dalhousie Univ, Dept Oceanog, Halifax, NS B3H 4J1, Canada.</t>
  </si>
  <si>
    <t>barry.ruddick@dal.ca</t>
  </si>
  <si>
    <t>10.1016/S0079-6611(03)00028-4</t>
  </si>
  <si>
    <t>686WY</t>
  </si>
  <si>
    <t>WOS:000183345000007</t>
  </si>
  <si>
    <t>Meyer-Rochow, VB; Fraile, B; Paniagua, R; Royuela, M</t>
  </si>
  <si>
    <t>First immunocytochemical study of echinoderm smooth muscle:: the Antarctic cushionstar Odontaster validus Koehler (Echinodermata, Asteroidea)</t>
  </si>
  <si>
    <t>PROTOPLASMA</t>
  </si>
  <si>
    <t>Odontaster validus; immunocytochemistry; caldesmon; calponin; paramyosin; titin</t>
  </si>
  <si>
    <t>WESTERN-BLOT-ANALYSIS; FLY DROSOPHILA-MELANOGASTER; STRIATED-MUSCLE; CELL TYPES; CALPONIN; PROTEIN; CALDESMON; MYOSIN; ACTIN; TITIN</t>
  </si>
  <si>
    <t>Our immunocytochemical observations reveal that the muscle present in the tips of the arms of the Antarctic cushionstar Odontaster validus contains caldesmon and calponin but not troponin. Thus, the muscle clearly belongs to the smooth muscle category. Distributions of contractile proteins such as actin, myosin (the latter a typical vertebrate muscle filament protein), paramyosin, and miniparamyosin (the latter two being characteristic of thick invertebrate muscle filaments) were also determined immunocytochemically. The results suggest that the thin filaments of the starfish smooth muscle are similar to those of the vertebrate muscle, but that the thick filaments differ from those of vertebrates and possess traits that are also seen in the muscle organization of invertebrates. The absence from the O. validus muscle of titin and nebulin, proteins so far known almost exclusively from the striated vertebrate muscle, comes as no surprise, but immunoreactivity to mini-titin (a protein of the same family as titin and its replacement in invertebrates) was strong and unambiguously recognizable between filaments. Odontaster validus' histochemical characteristics may be a reflection of the phylogenetic position of the echinoderms as deuterostome invertebrates or they may express an adaptation of the muscle to the harsh environmental conditions under which it has to function in the Antarctic water.</t>
  </si>
  <si>
    <t>Int Univ Bremen, Fac Sci &amp; Engn, D-28725 Bremen, Germany; Oulu Univ, Dept Biol, Oulu, Finland; Univ Alcala de Henares, Dept Cell Biol &amp; Genet, Alcala De Henares, Spain</t>
  </si>
  <si>
    <t>Jacobs University; University of Oulu; Universidad de Alcala</t>
  </si>
  <si>
    <t>Int Univ Bremen, Fac Sci &amp; Engn, POB 750561, D-28725 Bremen, Germany.</t>
  </si>
  <si>
    <t>MEYER-ROCHOW, Victor Benno/AAJ-7258-2020</t>
  </si>
  <si>
    <t>MEYER-ROCHOW, V. Benno/0000-0003-1531-9244; Royuela, Mar/0000-0003-1999-9849</t>
  </si>
  <si>
    <t>SPRINGER WIEN</t>
  </si>
  <si>
    <t>WIEN</t>
  </si>
  <si>
    <t>SACHSENPLATZ 4-6, PO BOX 89, A-1201 WIEN, AUSTRIA</t>
  </si>
  <si>
    <t>0033-183X</t>
  </si>
  <si>
    <t>1615-6102</t>
  </si>
  <si>
    <t>Protoplasma</t>
  </si>
  <si>
    <t>10.1007/s00709-002-0048-1</t>
  </si>
  <si>
    <t>Plant Sciences; Cell Biology</t>
  </si>
  <si>
    <t>664BA</t>
  </si>
  <si>
    <t>WOS:000182040800013</t>
  </si>
  <si>
    <t>Gillett, NP; Allen, MR; Williams, KD</t>
  </si>
  <si>
    <t>Modelling the atmospheric response to doubled CO2 and depleted stratospheric ozone using a stratosphere-resolving coupled GCM</t>
  </si>
  <si>
    <t>QUARTERLY JOURNAL OF THE ROYAL METEOROLOGICAL SOCIETY</t>
  </si>
  <si>
    <t>Antarctic Oscillation; Arctic Oscillation; climate change; climate sensitivity; stratospheric ozone depletion</t>
  </si>
  <si>
    <t>GENERAL-CIRCULATION MODEL; 20TH-CENTURY TEMPERATURE-CHANGE; CLIMATE-CHANGE; MIDDLE ATMOSPHERE; PROJECTED CHANGES; GREENHOUSE GASES; CARBON-DIOXIDE; SIMULATION; TRENDS; IMPACT</t>
  </si>
  <si>
    <t>We investigate the atmospheric response to doubled CO2 and stratospheric ozone depletion in three versions of a general-circulation model with differing vertical resolution and upper-boundary heights. We find that an approximate doubling of the vertical resolution below 10 hPa reduces the temperature response to a doubling of CO from 3.4 K to 2.5 K. Much of this difference is associated with changes in the cloud response. All model versions show an increase in the Arctic Oscillation index in response to a doubling of CO2, but the increase is no larger in the model with an upper boundary at 0.01 hPa than in the standard model with a top level at 5 hPa. All models also show general stratospheric cooling in response to doubling CO2. However, unlike some other authors, we find no cooling in the Arctic winter vortex below around 10 hPa in the stratosphere-resolving model, and a weakening of the zonal winds throughout this region. This effect is due to enhanced upward propagation of planetary waves from the troposphere, and is an effect found only in the northern hemisphere, probably because of its larger zonal asymmetries. All models show a small but significant surface cooling in response to a reconstruction of 1998 stratospheric ozone depletion, and an increase in the Antarctic Oscillation index in the southern summer. The cooling extends through most of the atmosphere, and reaches a maximum in the region of the Antarctic ozone hole in November and December.</t>
  </si>
  <si>
    <t>Univ Victoria, SEOS, Victoria, BC V8W 3P6, Canada; Univ Oxford, Oxford OX1 2JD, England; Met Off, Bracknell, Berks, England</t>
  </si>
  <si>
    <t>University of Victoria; University of Oxford; Met Office - UK</t>
  </si>
  <si>
    <t>Gillett, NP (corresponding author), Univ Victoria, SEOS, POB 3055, Victoria, BC V8W 3P6, Canada.</t>
  </si>
  <si>
    <t>Allen, Myles R/A-5172-2012</t>
  </si>
  <si>
    <t>ROYAL METEOROLOGICAL SOC</t>
  </si>
  <si>
    <t>READING</t>
  </si>
  <si>
    <t>104 OXFORD ROAD, READING RG1 7LJ, BERKS, ENGLAND</t>
  </si>
  <si>
    <t>0035-9009</t>
  </si>
  <si>
    <t>Q J ROY METEOR SOC</t>
  </si>
  <si>
    <t>Q. J. R. Meteorol. Soc.</t>
  </si>
  <si>
    <t>10.1256/qj.02.102</t>
  </si>
  <si>
    <t>661XW</t>
  </si>
  <si>
    <t>WOS:000181916000002</t>
  </si>
  <si>
    <t>Siegert, MJ; Hindmarsh, RCA; Hamilton, GS</t>
  </si>
  <si>
    <t>Evidence for a large surface ablation zone in central East Antarctica during the last Ice Age</t>
  </si>
  <si>
    <t>QUATERNARY RESEARCH</t>
  </si>
  <si>
    <t>CORE SITE; DOME-C; SHEET; AREAS</t>
  </si>
  <si>
    <t>Internal isochronous ice sheet layers, recorded by airborne ice-penetrating radar, were measured along an ice flowline across a large (&gt; I km high) subglacial hill in the foreground of the Transantarctic Mountains. The layers, dated through an existing stratigraphic link with the Vostok ice core, converge with the ice surface as ice flows over the hill without noticeable change to their separation with each other or the ice base. A two-dimensional ice flow model that calculates isochrons and particle flowpaths and accounts for ice flow over the hill under steady-state conditions requires net ablation (via sublimation) over the stoss face for the predicted isochrons to match the measured internal layers. Satellite remote sensing data show no sign of exposed ancient ice at this site, however. Given the lack of exposed glacial ice, surface balance conditions must have changed recently from the net ablation that is predicted at this site for the last 85,000 years to accumulation. (C) 2003 Elsevier Science (USA). All rights reserved.</t>
  </si>
  <si>
    <t>Univ Bristol, Sch Geog Sci, Bristol Glaciol Ctr, Bristol BS8 1SS, Avon, England; British Antarctic Survey, NERC, Div Phys Sci, Cambridge CB3 0ET, England; Univ Maine, Dept Geol Sci, Global Sci Ctr 303, Orono, ME 04469 USA; Univ Maine, Inst Quaternary &amp; Climate Studies, Global Sci Ctr 303, Orono, ME 04469 USA</t>
  </si>
  <si>
    <t>University of Bristol; UK Research &amp; Innovation (UKRI); Natural Environment Research Council (NERC); NERC British Antarctic Survey; University of Maine System; University of Maine Orono; University of Maine System; University of Maine Orono</t>
  </si>
  <si>
    <t>Siegert, MJ (corresponding author), Univ Bristol, Sch Geog Sci, Bristol Glaciol Ctr, Bristol BS8 1SS, Avon, England.</t>
  </si>
  <si>
    <t>Siegert, Martin/M-9939-2019; Hindmarsh, Richard/N-1195-2019; Siegert, Martin J/A-3826-2008</t>
  </si>
  <si>
    <t>Siegert, Martin/0000-0002-0090-4806; Hindmarsh, Richard/0000-0003-1633-2416; Siegert, Martin J/0000-0002-0090-4806</t>
  </si>
  <si>
    <t>Natural Environment Research Council [cpom10001, bas010002] Funding Source: researchfish; NERC [bas010002, cpom10001] Funding Source: UKRI</t>
  </si>
  <si>
    <t>ACADEMIC PRESS INC ELSEVIER SCIENCE</t>
  </si>
  <si>
    <t>525 B ST, STE 1900, SAN DIEGO, CA 92101-4495 USA</t>
  </si>
  <si>
    <t>0033-5894</t>
  </si>
  <si>
    <t>QUATERNARY RES</t>
  </si>
  <si>
    <t>Quat. Res.</t>
  </si>
  <si>
    <t>10.1016/S0033-5894(02)00014-5</t>
  </si>
  <si>
    <t>652YF</t>
  </si>
  <si>
    <t>WOS:000181407900013</t>
  </si>
  <si>
    <t>Ohkouchi, N; Eglinton, TI; Hayes, JM</t>
  </si>
  <si>
    <t>Radiocarbon dating of individual fatty acids as a tool for refining Antarctic margin sediment chronologies</t>
  </si>
  <si>
    <t>RADIOCARBON</t>
  </si>
  <si>
    <t>ROSS-SEA; MARINE-SEDIMENTS; ICE-SHEET; SOUTHERN-OCEAN; ORGANIC-MATTER; NORTH-ATLANTIC; CARBON</t>
  </si>
  <si>
    <t>We have measured the radiocarbon contents of individual, solvent-extractable, short-chain (C-14, C-16, and C-18) fatty acids isolated from Ross Sea surface sediments. The corresponding C-14 ages are equivalent to that of the post-bomb dissolved inorganic carbon (DIC) reservoir. Moreover, molecular C-14 variations in surficial (upper 15 cm) sediments indicate that these compounds may prove useful for reconstructing chronologies of Antarctic margin sediments containing uncertain (and potentially variable) quantities of relict organic carbon. A preliminary molecular C-14 chronology suggests that the accumulation rate of relict organic matter has not changed during the last 500 C-14 yr. The focus of this study is to determine the validity of compound-specific C-14 analysis as a technique for reconstructing chronologies of Antarctic margin sediments.</t>
  </si>
  <si>
    <t>Woods Hole Oceanog Inst, Dept Marine Chem &amp; Geochem, Woods Hole, MA 02543 USA; Woods Hole Oceanog Inst, Dept Marine Geol &amp; Phys, Woods Hole, MA 02543 USA</t>
  </si>
  <si>
    <t>Woods Hole Oceanographic Institution; Woods Hole Oceanographic Institution</t>
  </si>
  <si>
    <t>Ohkouchi, N (corresponding author), Woods Hole Oceanog Inst, Dept Marine Chem &amp; Geochem, Woods Hole, MA 02543 USA.</t>
  </si>
  <si>
    <t>Ohkouchi, Naohiko/B-2071-2008</t>
  </si>
  <si>
    <t>Eglinton, Timothy/0000-0001-5060-2155</t>
  </si>
  <si>
    <t>UNIV ARIZONA DEPT GEOSCIENCES</t>
  </si>
  <si>
    <t>TUCSON</t>
  </si>
  <si>
    <t>RADIOCARBON 4717 E FORT LOWELL RD, TUCSON, AZ 85712 USA</t>
  </si>
  <si>
    <t>0033-8222</t>
  </si>
  <si>
    <t>Radiocarbon</t>
  </si>
  <si>
    <t>10.1017/S0033822200032355</t>
  </si>
  <si>
    <t>735TQ</t>
  </si>
  <si>
    <t>WOS:000186131000003</t>
  </si>
  <si>
    <t>Wilson, MA; Saleh, SRM; Hodgson, DA; Keely, BJ</t>
  </si>
  <si>
    <t>Atmospheric pressure chemical ionisation liquid chromatography/multistage mass spectrometry of isobaric bacteriophaeophorbide dmethyl esters</t>
  </si>
  <si>
    <t>RAPID COMMUNICATIONS IN MASS SPECTROMETRY</t>
  </si>
  <si>
    <t>PHOTOSYNTHETIC SULFUR BACTERIA; BACTERIOCHLOROPHYLL-C HOMOLOGS; LIGHT-INTENSITY; ENZYMATIC METHYLATION; PIGMENT DISTRIBUTIONS; CHLOROBIUM-TEPIDUM; HIGH-RESOLUTION; ANTENNA; BACTERIOPHEOPHORBIDES; IDENTIFICATION</t>
  </si>
  <si>
    <t>Univ York, Dept Chem, York YO10 5DD, N Yorkshire, England; British Antarctic Survey, NERC, Cambridge CB3 0ET, England</t>
  </si>
  <si>
    <t>CHICHESTER</t>
  </si>
  <si>
    <t>THE ATRIUM, SOUTHERN GATE, CHICHESTER PO19 8SQ, W SUSSEX, ENGLAND</t>
  </si>
  <si>
    <t>0951-4198</t>
  </si>
  <si>
    <t>RAPID COMMUN MASS SP</t>
  </si>
  <si>
    <t>Rapid Commun. Mass Spectrom.</t>
  </si>
  <si>
    <t>10.1002/rcm.1205</t>
  </si>
  <si>
    <t>Biochemical Research Methods; Chemistry, Analytical; Spectroscopy</t>
  </si>
  <si>
    <t>Biochemistry &amp; Molecular Biology; Chemistry; Spectroscopy</t>
  </si>
  <si>
    <t>739AR</t>
  </si>
  <si>
    <t>WOS:000186320500012</t>
  </si>
  <si>
    <t>Bortoli, D; Giovanelli, G; Ravegnani, F; Kostadinov, I; Petritoli, A; Calzolari, F; Costa, MJ; Silva, AM</t>
  </si>
  <si>
    <t>Schafer, KP; LadoBordowsky, O; Comeron, A; Picard, RH</t>
  </si>
  <si>
    <t>Stratospheric nitrogen dioxide in Antarctic regions from ground based and satellite observation during 2001</t>
  </si>
  <si>
    <t>REMOTE SENSING OF CLOUDS AND THE ATMOSPHERE VII</t>
  </si>
  <si>
    <t>Conference on Remote Sensing of Clouds and the Atmosphere VII</t>
  </si>
  <si>
    <t>SEP 24-27, 2002</t>
  </si>
  <si>
    <t>AGIA PELAGIA, GREECE</t>
  </si>
  <si>
    <t>ozone; nitrogen dioxide; stratosphere; cross section; satellites; Antarctica</t>
  </si>
  <si>
    <t>MONITORING EXPERIMENT GOME; OCLO MEASUREMENTS; OZONE; NO2; LATITUDE; O-3</t>
  </si>
  <si>
    <t>The application of Differential Optical Absorption Spectroscopy (DOAS) methodology to the zenith scattered light data collected with the GASCOD spectrometer developed at the ISAC Institute allow for the detection of stratospheric trace gases involved in the ozone cycle such as NO2, OCIO, BrO. The instrument was installed in December 1995 in the Italian Antarctic station at Terra Nova Bay (74degrees26'S, 164degrees03E', Ross Sea), after several tests both in laboratory and in Antarctic region, for unattended and continuous measurement in extreme high-latitude environment. The GASCOD is, still working and producing very interesting data for the study of the. denitrification processes during the formation of the so-called ozone hole over the Antarctic region. For the continuous NO2 monitoring for whole the year, also during winter when the station is unmanned, the [407-460] nm spectral region is investigated. The results for Nitrogen Dioxide, obtained by application of DOAS algorithms to the data recorded during the year 2001, are presented. ERS-2 was launched in April 1995 into a near-polar sun-synchronous orbit at a mean altitude of 795 km. The descending node crosses the equator at 10:30 local time. GOME is a nadir-scanning double monochromator covering the 237 nm to 794 nm wavelength range with a spectral resolution of 0.17-0.33 run. The spectrum is split into four spectral channels, each recorded quasi-simultaneously by a 1024-pixel photodiode array. The global spatial coverage is obtained within 3 days at the equator by a 960 Km across-track swath (4.5 s forward scan, 1.5 s back scan). The ground pixel size of the measurements is 320 X 40 km(2). A comparison of GASCOD and GOME results for NO2 total column is performed.</t>
  </si>
  <si>
    <t>Univ Evora, CGE UE, Evora, Portugal</t>
  </si>
  <si>
    <t>University of Evora</t>
  </si>
  <si>
    <t>Bortoli, D (corresponding author), CNR, ISAC, Via Gobetti 101, I-40129 Bologna, Italy.</t>
  </si>
  <si>
    <t>Ravegnani, Fabrizio/AAM-5467-2021; Costa, Maria João/M-4119-2013; Ravegnani, Fabrizio/A-7800-2009; Bortoli, Daniele/A-5489-2009</t>
  </si>
  <si>
    <t>Ravegnani, Fabrizio/0000-0003-0735-9297; Costa, Maria João/0000-0003-2981-2232; Ravegnani, Fabrizio/0000-0003-0735-9297; Bortoli, Daniele/0000-0002-2334-4055; Calzolari, Francescopiero/0000-0003-4535-9626; Silva, Ana Maria/0000-0003-2002-4774</t>
  </si>
  <si>
    <t>0-8194-4664-5</t>
  </si>
  <si>
    <t>10.1117/12.462602</t>
  </si>
  <si>
    <t>Instruments &amp; Instrumentation; Meteorology &amp; Atmospheric Sciences; Remote Sensing</t>
  </si>
  <si>
    <t>BW64U</t>
  </si>
  <si>
    <t>WOS:000182689200033</t>
  </si>
  <si>
    <t>Cai, PH; Huang, YP; Chen, M; Liu, GS; Qiu, YS; Chen, XB; Jin, DQ; Zhou, XH</t>
  </si>
  <si>
    <t>Glacial meltwater and sea ice meltwater in the Prydz Bay, Antarctica</t>
  </si>
  <si>
    <t>SCIENCE IN CHINA SERIES D-EARTH SCIENCES</t>
  </si>
  <si>
    <t>glacial meltwater; sea ice meltwater; delta D; Antarctica; Prydz Bay</t>
  </si>
  <si>
    <t>OXYGEN-ISOTOPE; WATER MASSES; REGION; SHELF; O-18</t>
  </si>
  <si>
    <t>Measurements of deltaD and salinity were carried out in the Prydz Bay during two Antarctic cruises, the 13th and the 14th Chinese National Antarctic Research expeditions (CHINARE). Mass balance calculations based on deltaD and salinity showed that during the 13th CHINARE cruise, percentages of glacial meltwater and sea ice meltwater in the study region ranged from 0% to 3.82% and from -3.19% to 4.78%, respectively. Meanwhile, the percentages were 1.53%-3.98% and -3.80%-4.52% during the 14th CHINARE cruise. We depicted plots showing the horizontal distributions of glacial meltwater and sea ice meltwater, and found a footprint of Circumpolar Deep Water (CDW), which may suggest a strong upwelling in this regime. We also noticed a butterfly-like image in the plot, which resulted from two adjacent water masses. It is interesting to note that the butterfly-like image deflected anticlockwise with depth. We suggested that the cause of the deflection could be due to Ekman effect. Depth profiles of glacial meltwater within the Prydz Bay were fundamentally uniform, revealing that inflow of glacial meltwater to the basin was a slower process with respect to the vertical mixing in the water column. Nevertheless, percentage of sea ice meltwater decreased steadily with depth, presumably due to the effect of seasonal cycle of sea ice production.</t>
  </si>
  <si>
    <t>Xiamen Univ, Dept Oceanog, Xiamen 361005, Peoples R China; Peking Univ, Dept Chem, Beijing 100871, Peoples R China</t>
  </si>
  <si>
    <t>Xiamen University; Peking University</t>
  </si>
  <si>
    <t>Cai, PH (corresponding author), Xiamen Univ, Dept Oceanog, Xiamen 361005, Peoples R China.</t>
  </si>
  <si>
    <t>Chen, Min/B-7763-2012; Liu, GS/G-4637-2010; ma, qiang/HCI-1013-2022; Huang, YP/G-3354-2010</t>
  </si>
  <si>
    <t>Chen, Min/0000-0003-0369-694X;</t>
  </si>
  <si>
    <t>SCIENCE CHINA PRESS</t>
  </si>
  <si>
    <t>BEIJING</t>
  </si>
  <si>
    <t>16 DONGHUANGCHENGGEN NORTH ST, BEIJING 100717, PEOPLES R CHINA</t>
  </si>
  <si>
    <t>1006-9313</t>
  </si>
  <si>
    <t>SCI CHINA SER D</t>
  </si>
  <si>
    <t>Sci. China Ser. D-Earth Sci.</t>
  </si>
  <si>
    <t>10.1360/03yd9005</t>
  </si>
  <si>
    <t>653BM</t>
  </si>
  <si>
    <t>WOS:000181415400005</t>
  </si>
  <si>
    <t>Swinney, GN</t>
  </si>
  <si>
    <t>From the Arctic and Antarctic to 'the back parts of mull': The life and career of William Gordon Burn Murdoch (1862-1939)</t>
  </si>
  <si>
    <t>SCOTTISH GEOGRAPHICAL JOURNAL</t>
  </si>
  <si>
    <t>Biographical-Item</t>
  </si>
  <si>
    <t>exploration; history; hunting; painting; polar science; Scottish Nationalism; whaling</t>
  </si>
  <si>
    <t>Published and archival sources are examined to elucidate the career of William Gordon Burn Murdoch, artist, bag-piper, explorer, geographer, hunter, Scottish nationalist, traveller, whaler and writer. Burn Murdoch's diverse contributions to geography are discussed, as are the roles he played in the Royal Scottish Geographical Society and other Scottish scientific and literary societies. A preliminary list of his extant original works of art is included.</t>
  </si>
  <si>
    <t>Natl Museum Scotland, Edinburgh EH1 1JF, Midlothian, Scotland</t>
  </si>
  <si>
    <t>Swinney, GN (corresponding author), Natl Museum Scotland, Chambers St, Edinburgh EH1 1JF, Midlothian, Scotland.</t>
  </si>
  <si>
    <t>ROUTLEDGE JOURNALS, TAYLOR &amp; FRANCIS LTD</t>
  </si>
  <si>
    <t>4 PARK SQUARE, MILTON PARK, ABINGDON OX14 4RN, OXFORDSHIRE, ENGLAND</t>
  </si>
  <si>
    <t>1470-2541</t>
  </si>
  <si>
    <t>SCOT GEOGR J</t>
  </si>
  <si>
    <t>Scott. Geogr. J.</t>
  </si>
  <si>
    <t>10.1080/00369220318737167</t>
  </si>
  <si>
    <t>Geography</t>
  </si>
  <si>
    <t>Social Science Citation Index (SSCI)</t>
  </si>
  <si>
    <t>738AY</t>
  </si>
  <si>
    <t>WOS:000186265600003</t>
  </si>
  <si>
    <t>Angel, R; Lawrence, J; Storey, J</t>
  </si>
  <si>
    <t>Ardeberg, AL</t>
  </si>
  <si>
    <t>Concept for a second Giant Magellan telescope (GMT) in antarctica</t>
  </si>
  <si>
    <t>SECOND BACKASKOG WORKSHOP ON EXTREMELY LARGE TELESCOPES, PTS 1 AND 2</t>
  </si>
  <si>
    <t>2nd Backaslog Workshop on Extremely Large Telescopes</t>
  </si>
  <si>
    <t>SEP 09-11, 2003</t>
  </si>
  <si>
    <t>Backaskog Castle, SWEDEN</t>
  </si>
  <si>
    <t>DOME-C; PLATEAU</t>
  </si>
  <si>
    <t>While definitive winter measurements for Dome C must await until 2004, on the basis of existing data the Antarctic Dome sites promise the best conditions on the Earth for many astronomical observations. Because atmospheric turbulence is largely confined to a similar to 100 in ground layer, adaptive correction with a single deformable mirror conjugated to this layer should yield an 8-arcminute field of view with 0.1 arcsec images at optical wavelengths. The ground layer wavefront aberration can likely be sensed with natural guide stars found over the wide field. In the infrared there is the added advantage of low thermal background from the cold atmosphere and telescope optics, as much as 50x reduction in the 3.5 mum L band. An ELT that fully exploited these advantages would provide a uniquely powerful ground-based complement to the James Webb Space Telescope, especially for spectroscopy. We consider here the concept of building a copy of the 21 m Giant Magellan telescope (GMT) telescope (Johns, 2003) at Dome C. The optical design is ideal, with a very fast (f/0.7) primary mirror and direct Gregorian focus formed by a deformable secondary conjugated to the ground layer. In the thermal infrared, diffraction-limited images are produced with the low background of only two warm mirrors, the primary and secondary. There are also practical advantages. The enclosure is of modest size, by ELT standards, because the primary is very fast. Assembly, debugging and maintenance problems on-site are minimized by a primary mirror built from a small number of large, pre-tested segments. By building a copy of an already implemented ELT, engineering difficulties will be minimized, and experienced support staff will be available at the first GMT, where also instruments can be pre-tested.</t>
  </si>
  <si>
    <t>Univ Arizona, Steward Observ, Tucson, AZ 85721 USA</t>
  </si>
  <si>
    <t>University of Arizona</t>
  </si>
  <si>
    <t>Univ Arizona, Steward Observ, Tucson, AZ 85721 USA.</t>
  </si>
  <si>
    <t>Lawrence, Jon/0000-0002-6998-6993</t>
  </si>
  <si>
    <t>0-8194-5299-8</t>
  </si>
  <si>
    <t>1&amp;2</t>
  </si>
  <si>
    <t>10.1117/12.566107</t>
  </si>
  <si>
    <t>Instruments &amp; Instrumentation; Optics</t>
  </si>
  <si>
    <t>BAR91</t>
  </si>
  <si>
    <t>WOS:000223325000010</t>
  </si>
  <si>
    <t>Anderson, PS</t>
  </si>
  <si>
    <t>Wandinger, U</t>
  </si>
  <si>
    <t>Autonomous wind profiling in Antarctica using a Doppler SODAR</t>
  </si>
  <si>
    <t>SIXTH INTERNATIONAL SYMPOSIUM ON TROPOSPHERIC PROFILING: NEEDS AND TECHNOLOGIES</t>
  </si>
  <si>
    <t>6th International Symposium on Tropospheric Profiling</t>
  </si>
  <si>
    <t>SEP 14-20, 2003</t>
  </si>
  <si>
    <t>Leipzig, GERMANY</t>
  </si>
  <si>
    <t>A remotely operated Doppler acoustic radar is described, installed on the Antarctic continent to measure vertical wind profiles of wintertime katabatic flow. Profile measurements of the katabatic jet are needed to validate a regional atmospheric model, from which momentum and heat flux budgets can then be deduced. Typical comparison results are given, but the presentation then concentrates on the technical difficulties of successful remote autonomous profiling.</t>
  </si>
  <si>
    <t>Anderson, PS (corresponding author), British Antarctic Survey, Madingley Rd, Cambridge CB3 0ET, England.</t>
  </si>
  <si>
    <t>INST TROPICAL MEDICINE ROTTERDAM - LEIDEN</t>
  </si>
  <si>
    <t>WASSENAARSEWEG 62, POSTBUS 9605, 2300 LEIDEN, NETHERLANDS</t>
  </si>
  <si>
    <t>Instruments &amp; Instrumentation; Meteorology &amp; Atmospheric Sciences; Imaging Science &amp; Photographic Technology; Telecommunications</t>
  </si>
  <si>
    <t>BY76Y</t>
  </si>
  <si>
    <t>WOS:000189458700087</t>
  </si>
  <si>
    <t>Zumberge, MA; Elsberg, DH; Harrison, WD; Husmann, E; Morack, JL; Pettit, EC; Waddington, ED</t>
  </si>
  <si>
    <t>Inaudi, D; Udd, E</t>
  </si>
  <si>
    <t>Vertical strain determination in the antarctic ice sheet using optical fibers</t>
  </si>
  <si>
    <t>SMART STRUCTURES AND MATERIALS 2003: SMART SENSOR TECHNOLOGY AND MEASUREMENT SYSTEMS</t>
  </si>
  <si>
    <t>Smart Structures and Materials 2003 Conference</t>
  </si>
  <si>
    <t>MAR 02-06, 2003</t>
  </si>
  <si>
    <t>strain; absolute fiber length; EDM; Antarctica; ice sheet</t>
  </si>
  <si>
    <t>As part of a program to measure and model vertical strain in the West Antarctic ice Sheet, we developed a new sensor to accurately and stably record displacements. The sensors consist of optical fibers, encased in thin-walled stainless steel tubes, frozen into hot-water drilled boreholes, and stretched from the surface to various depths in the ice sheet ranging to 1000 m. An EDM (electronic distance meter) connected annually to the fibers read out their absolute lengths with a precision of about 2 mm. An initial elongation of about 0.15% of the optical fibers allowed them to follow an ice thinning rate of 300 ppm per year for up to five years. Two sets of five sensors were installed in the 1997-1998 field season: one set was near the Siple Dome core hole (an ice divide) and a second set was on the flank 7 km to the north (the ice thickness at both sites is approximately 1000 m).</t>
  </si>
  <si>
    <t>Zumberge, MA (corresponding author), Univ Calif San Diego, Scripps Inst Oceanog, 9500 Gilman Dr, La Jolla, CA 92093 USA.</t>
  </si>
  <si>
    <t>0-8194-4855-9</t>
  </si>
  <si>
    <t>10.1117/12.484259</t>
  </si>
  <si>
    <t>BX34H</t>
  </si>
  <si>
    <t>WOS:000184997000007</t>
  </si>
  <si>
    <t>Smith, VR</t>
  </si>
  <si>
    <t>Soil respiration and its determinants on a sub-Antarctic island</t>
  </si>
  <si>
    <t>SOIL BIOLOGY &amp; BIOCHEMISTRY</t>
  </si>
  <si>
    <t>soil respiration; sub-Antarctic island; soil chemistry; soil temperature; Q(10); seal and seabird manuring</t>
  </si>
  <si>
    <t>ORGANIC-MATTER DECOMPOSITION; TEMPERATURE-DEPENDENCE; MARION-ISLAND; TERRESTRIAL HABITATS; NUTRIENT DYNAMICS; PLANT-COMMUNITIES; STANDING CROP; VEGETATION; MINERALIZATION; CLIMATE</t>
  </si>
  <si>
    <t>The effect of temperature on soil respiration at field moisture holding capacity,was assessed for 100 sites representing 21 habitats on sub-Antarctic Marion Island (47degreesS, 38degreesE). Respiration rates were compared across habitats and related to soil chemistry, soil microrganism counts and botanical characteristics. Median Q(10) across the 100 sites was 2.0, in the lower part of the range reported for soils elsewhere. Q(10) did not differ with temperature between 5 and 20degreesC, indicating a mixed community of soil microorganisms having different responses to temperature. Respiration rates are about an order of magnitude higher than those reported at the same temperature for surface soils from Northern Hemisphere tundra. Edaphic richness (high concentrations of available P, inorganic N and total N), associated with large soil microbial populations and substantial relative covers of nitrophilous or coprophilous plants and caused by manuring by seals and seabirds, is the main determinant of soil respiration rate. The island's habitats were originally defined on the basis of canonical correspondence analysis of structural (vegetation and soil chemistry) variables. Since habitat-mean soil respiration rate correlated highly positively with the mean positions of the habitats on a canonical axis interpreted as representing a gradient in the intensity of animal influence, it is concluded that,the habitat classification reflects differences in at least one ecosystem functional attribute, soil respiration. (C) 2003 Elsevier Science Ltd. All rights reserved.</t>
  </si>
  <si>
    <t>Univ Stellenbosch, Dept Bot, ZA-7602 Matieland, South Africa</t>
  </si>
  <si>
    <t>Univ Stellenbosch, Dept Bot, Provate Bag 11, ZA-7602 Matieland, South Africa.</t>
  </si>
  <si>
    <t>vs2@sun.ac.za</t>
  </si>
  <si>
    <t>0038-0717</t>
  </si>
  <si>
    <t>SOIL BIOL BIOCHEM</t>
  </si>
  <si>
    <t>Soil Biol. Biochem.</t>
  </si>
  <si>
    <t>PII S0038-0717(02)00240-7</t>
  </si>
  <si>
    <t>10.1016/S0038-0717(02)00240-7</t>
  </si>
  <si>
    <t>659TB</t>
  </si>
  <si>
    <t>WOS:000181792600009</t>
  </si>
  <si>
    <t>Bubenheim, DL; Schlick, G; Wilson, D; Bates, M</t>
  </si>
  <si>
    <t>Horneck, G; Vazquez, ME; Porterfield, DM</t>
  </si>
  <si>
    <t>Performance of the CELSS Antarctic Analog Project (CAAP) crop production system</t>
  </si>
  <si>
    <t>SPACE LIFE SCIENCES: MISSIONS TO MARS, RADIATION BIOLOGY, AND PLANTS AS A FOUNDATION FOR LONG-TERM LIFE SUPPORT SYSTEMS IN SPACE</t>
  </si>
  <si>
    <t>F0 1 and F1 3-F2 3 Symposia of COSPAR Scientific Commission F held at the 33rd COSPAR Scientific Assembly</t>
  </si>
  <si>
    <t>JUL, 2000</t>
  </si>
  <si>
    <t>WARSAW, POLAND</t>
  </si>
  <si>
    <t>Regenerative life support systems potentially offer a level of self-sufficiency and a decrease in logistics and associated costs in support of space exploration and habitation missions. Current state-of-the-art in plant-based, regenerative life support requires resources in excess of allocation proposed for candidate mission scenarios. Feasibility thresholds have been identified for candidate exploration missions. The goal of this paper is to review recent advances in performance achieved in the CELSS Antarctic Analog Project (CAAP) in light of the likely resource constraints. A prototype CAAP crop production chamber has been constructed and operated at the Ames Research Center. The chamber includes a number of unique hardware and software components focused on attempts to increase production efficiency, increase energy efficiency, and control the flow of energy and mass through the system. Both single crop, batch production and continuous cultivation of mixed crops production studies have been completed. The crop productivity as well as engineering performance of the chamber are described. For each scenario, energy required and partitioned for lighting, cooling, pumping, fans, etc. is quantified. Crop production and the resulting lighting efficiency and energy conversion efficiencies are presented. In the mixed-crop scenario, with 27 different crops under cultivation, 17 m(2) of crop area provided a mean of 515g edible biomass per day (85% of the approximate 620 g required for one person). Enhanced engineering and crop production performance achieved with the CAAP chamber, compared with current state-of-the-art, places plant-based life support systems at the threshold of feasibility. (C) 2002 Published by Elsevier Science Ltd on behalf of COSPAR.</t>
  </si>
  <si>
    <t>NASA, Ames Res Ctr, Ecosyst Sci &amp; Technol Branch, Moffett Field, CA 94035 USA</t>
  </si>
  <si>
    <t>National Aeronautics &amp; Space Administration (NASA); NASA Ames Research Center</t>
  </si>
  <si>
    <t>Bubenheim, DL (corresponding author), NASA, Ames Res Ctr, Ecosyst Sci &amp; Technol Branch, Moffett Field, CA 94035 USA.</t>
  </si>
  <si>
    <t>PII S0273-1177(02)00738-X</t>
  </si>
  <si>
    <t>10.1016/S0273-1177(02)00738-X</t>
  </si>
  <si>
    <t>BV98Q</t>
  </si>
  <si>
    <t>WOS:000180591400035</t>
  </si>
  <si>
    <t>Tamisiea, ME; Mitrovica, JX; Davis, JL; Milne, GA</t>
  </si>
  <si>
    <t>Long wavelength sea level and solid surface perturbations driven by polar ice mass variations: Fingerprinting Greenland and Antarctic ice sheet flux</t>
  </si>
  <si>
    <t>SPACE SCIENCE REVIEWS</t>
  </si>
  <si>
    <t>GLACIAL ISOSTATIC-ADJUSTMENT; RISE; TRENDS</t>
  </si>
  <si>
    <t>Rapid ice mass variations within the large polar ice sheets lead to distinct and highly nonuniform sea-level changes that have come to be known as 'sea-level fingerprints'. We explore in detail the physics of these fingerprints by decomposing the total sea-level change into contributions from radial perturbations in the two bounding surfaces: the geoid (or sea surface) and the solid surface. In the case of a melting event, the sea-level fingerprint is characterized by a sea-level fall in the near-field of the ice complex and a gradually increasing sea-level rise (from 0.0 to 1.3 times the eustatic value) as one considers sites at progressively greater distances (up to similar to 90degrees or so) from the ice sheet. The far-field redistribution is largely driven by the relaxation of the sea-surface as the gravitational pull of the ablating ice sheet weakens. The near-field sea-level fall is a consequence of both this relaxation and ocean-plus-ice unloading of the solid surface. We argue that the fingerprints provide a natural explanation for geographic variations in sea-level (e.g., tide gauge, satellite) observations. Therefore, they furnish a methodology for extending traditional analyses of these observations to estimate not only the globally averaged sea-level rate but also the individual contributions to this rate (i.e., the sources).</t>
  </si>
  <si>
    <t>Univ Colorado, UCB 440, Boulder, CO 80309 USA; Univ Toronto, Dept Phys, Toronto, ON M5S 1A7, Canada; Harvard Smithsonian Ctr Astrophys, Cambridge, MA 02138 USA; Univ Durham, Dept Geol Sci, Durham DH1 3LE, England</t>
  </si>
  <si>
    <t>University of Colorado System; University of Colorado Boulder; University of Toronto; Smithsonian Astrophysical Observatory; Harvard University; Smithsonian Institution; Durham University</t>
  </si>
  <si>
    <t>Univ Colorado, UCB 440, Boulder, CO 80309 USA.</t>
  </si>
  <si>
    <t>tamisiea@colorado.edu</t>
  </si>
  <si>
    <t>Davis, James/D-8766-2013</t>
  </si>
  <si>
    <t>Davis, James/0000-0003-3057-477X</t>
  </si>
  <si>
    <t>0038-6308</t>
  </si>
  <si>
    <t>1572-9672</t>
  </si>
  <si>
    <t>SPACE SCI REV</t>
  </si>
  <si>
    <t>Space Sci. Rev.</t>
  </si>
  <si>
    <t>Astronomy &amp; Astrophysics</t>
  </si>
  <si>
    <t>732AM</t>
  </si>
  <si>
    <t>WOS:000185918700009</t>
  </si>
  <si>
    <t>Farrugia, CJ; Jordanova, VK; Freeman, MP; Cocheci, CC; Arnoldy, RL; Engebretson, M; Stauning, P; Rostoker, G; Thomsen, MF; Reeves, G; Yumoto, K</t>
  </si>
  <si>
    <t>Onsager, TG; FullerRowell, TJ; Kamide, Y; Shea, MA; Thompson, R</t>
  </si>
  <si>
    <t>Large-scale geomagnetic effects of May 4, 1998</t>
  </si>
  <si>
    <t>SPACE WEATHER 2000</t>
  </si>
  <si>
    <t>PSW1/C0 1/D0 5/E2 5/F2 0 Symposium of the COSPAR Scientific Panel on Space Weather held at the 33rd COSPAR Scientific Assembly</t>
  </si>
  <si>
    <t>RING CURRENT; STORMS; AURORA; ENERGY; EARTH</t>
  </si>
  <si>
    <t>We study large-scale magnetospheric disturbances elicited by the! May 4, 1998 high speed stream by modeling the Dst and studying records from 4 meridional. magnetometer chains covering key local time sectors. The quasi-sequential episodes of B-z &lt;&lt; 0 and high dynamic pressure (10-50 nPa) allow a clean separation of their respective geoeffects. Ring current evolution is followed by the kinetic model of Jordanova et al. (1998), which includes both charge exchange and Coulomb collisions of ring current ions H+, He+ and 0(+) drifting in a Volland-Stern convection electric field. The overall agreement with the temporal variation of the Dst is very good, but the strength of the great storm (min Dst = -280 nT) with its rapid main phase is not reproduced fully. A very asymmetric ring current forms near minimum Dst with maximum energy density located at dusk for all ion species. The data show evidence of (a) a great geomagnetic storm; (b) large enhancements of magnetopause currents; (c) substorm onsets, some of which were triggered; (d) a convection reversal boundary at relatively low latitudes (60-65degrees); and (e) what might be omega bands at morning local times associated with substorm recovery. An unprecedented measurement at Halley Bay station of an approximately 10% change in the ambient magnetic field strength is related to a sharp 5-fold increase in the dynamic pressure and to a large (similar to50 nT) variation in IMF B-z. (C) 2003 COSPAR. Published by Elsevier Science Ltd. All rights reserved.</t>
  </si>
  <si>
    <t>Univ New Hampshire, Ctr Space Sci, Durham, NH 03824 USA; British Antarctic Survey, Cambridge CB3 0ET, England; Augsburg Coll, Dept Phys, Minneapolis, MN USA; Danish Meteorol Inst, Copenhagen, Denmark; Univ Alberta, Dept Phys, Edmonton, AB, Canada; Los Alamos Natl Lab, Los Alamos, NM USA; Kyushu Univ, Dept Earth &amp; Planetary Sci, Fukuoka, Japan</t>
  </si>
  <si>
    <t>University System Of New Hampshire; University of New Hampshire; UK Research &amp; Innovation (UKRI); Natural Environment Research Council (NERC); NERC British Antarctic Survey; Augsburg University; Danish Meteorological Institute DMI; University of Alberta; United States Department of Energy (DOE); Los Alamos National Laboratory; Kyushu University</t>
  </si>
  <si>
    <t>Farrugia, CJ (corresponding author), Univ New Hampshire, Ctr Space Sci, Durham, NH 03824 USA.</t>
  </si>
  <si>
    <t>Reeves, Geoffrey/E-8101-2011; Jordanova, Vania/AAE-9907-2020; Jordanova, Vania/E-3667-2018; Freeman, Mervyn/E-5687-2019</t>
  </si>
  <si>
    <t>Reeves, Geoffrey/0000-0002-7985-8098; Jordanova, Vania/0000-0003-0475-8743; Freeman, Mervyn/0000-0002-8653-8279</t>
  </si>
  <si>
    <t>10.1016/S0273-1177(02)00890-6</t>
  </si>
  <si>
    <t>BX17T</t>
  </si>
  <si>
    <t>WOS:000184540400046</t>
  </si>
  <si>
    <t>Farrugia, CJ; Burlaga, LF; Jordanova, VK; Freeman, MP; Lawrence, G; Matsui, H; Cocheci, CC; Arnoldy, RL; Scudder, JD; Ogilvie, KW; Lepping, RP</t>
  </si>
  <si>
    <t>Power to the magnetosphere: May 4, 1998</t>
  </si>
  <si>
    <t>MAGNETIC CLOUD; GEOMAGNETIC STORMS</t>
  </si>
  <si>
    <t>An extraordinary powering of the magnetosphere by the solar wind occurred in a 3-hour burst early on May 4 when the IMF was very intense and pointed south (similar to-35 nT; erosion phase). Examining solar wind streams over 3 months, we found that May 4 represented a very fast, hot, non-corotating stream overtaking an interplanetary coronal mass ejection (ICME), thus forming a compound stream. By integrating the ''epsilon parameter over time, we find that the energy deposited in the magnetosphere during the erosion phase on May 4 (of order 7.5 J m(-2)) was higher to that deposited during the previous 3-day period, itself a very geoeffective interval. We compare the energy and power supply to the magnetosphere on May 4 with 13 other events, mainly ICMEs and magnetic clouds, during the period 1995-2000. Specifically, we examine (a) the total energy input over 3 days, and (b) the average power over a 3-hour period near maximum power of the respective configurations. As regards (a), we find the energy of the May 4 stream to be comparable to that of the strong events observed during the 6-year period. As regards (b), we find May 4 to represent a large fluctuation from the norm, exceeded only by the Bastille Day event (July 15, 2000). The ability to predict a concentration of electromagnetic power and energy such as that in the May 4 fast stream poses a challenge to our ability to predict space weather. (C) 2003 COSPAR. Published by Elsevier Science Ltd. All rights reserved.</t>
  </si>
  <si>
    <t>Univ New Hampshire, Ctr Space Sci, Durham, NH 03824 USA; NASA, Goddard Space Flight Ctr, Greenbelt, MD 20771 USA; British Antarctic Survey, Cambridge CB3 0ET, England; Univ Birmingham, Dept Astrophys &amp; Space Res, Birmingham B15 2TT, W Midlands, England; Univ Iowa, Dept Phys &amp; Astron, Iowa City, IA 52242 USA</t>
  </si>
  <si>
    <t>University System Of New Hampshire; University of New Hampshire; National Aeronautics &amp; Space Administration (NASA); NASA Goddard Space Flight Center; UK Research &amp; Innovation (UKRI); Natural Environment Research Council (NERC); NERC British Antarctic Survey; University of Birmingham; University of Iowa</t>
  </si>
  <si>
    <t>Jordanova, Vania/AAE-9907-2020; Scudder, Jack D./D-8417-2013; Freeman, Mervyn/E-5687-2019; Jordanova, Vania/E-3667-2018</t>
  </si>
  <si>
    <t>Freeman, Mervyn/0000-0002-8653-8279; Jordanova, Vania/0000-0003-0475-8743</t>
  </si>
  <si>
    <t>10.1016/S0273-1177(02)00891-8</t>
  </si>
  <si>
    <t>WOS:000184540400047</t>
  </si>
  <si>
    <t>Lloyd, JP; Lane, BF; Swain, MR; Storey, JW; Travouillon, T; Traub, WA; Walker, CK</t>
  </si>
  <si>
    <t>Coulter, DR</t>
  </si>
  <si>
    <t>Extrasolar planet science with the Antarctic planet interferometer</t>
  </si>
  <si>
    <t>TECHNIQUES AND INSTRUMENTATION FOR DETECTION OF EXOPLANETS</t>
  </si>
  <si>
    <t>Conference on Techniques and Instrumentation for Detection of Exoplanets</t>
  </si>
  <si>
    <t>AUG 05-07, 2003</t>
  </si>
  <si>
    <t>atmospheric turbulence; extrasolar planets; interferometry</t>
  </si>
  <si>
    <t>ATMOSPHERIC-TURBULENCE</t>
  </si>
  <si>
    <t>The primary limitation to ground based astronomy is the Earth's atmosphere. The atmosphere above the Antarctic plateau is fundamentally different in many regards compared to the atmosphere at temperate sites. The extreme altitude, cold and low humidity offer a uniquely transparent atmosphere at many wavelengths. Studies at the South Pole have shown additionally that the turbulence properties of the night time polar atmosphere are unlike any mid latitude sites. Despite relatively strong ground layer turbulence, the lack of high altitude turbulence combined with low wind speeds presents favorable conditions for interferometry. The unique properties of the polar atmosphere can be exploited for Extrasolar Planet studies with differential astrometry, differential phase and nulling interferometers. This paper combines the available data on the properties of the atmosphere at the South Pole and other Antarctic plateau sites for Extrasolar Planet science with interferometry.</t>
  </si>
  <si>
    <t>CALTECH, Pasadena, CA 91125 USA</t>
  </si>
  <si>
    <t>California Institute of Technology</t>
  </si>
  <si>
    <t>Lloyd, JP (corresponding author), CALTECH, Pasadena, CA 91125 USA.</t>
  </si>
  <si>
    <t>jpl@astro.caltech.edu</t>
  </si>
  <si>
    <t>Lloyd, James P/B-3769-2011</t>
  </si>
  <si>
    <t>Travouillon, Tony/0000-0001-9304-6718; Lane, Benjamin/0000-0002-8006-0243</t>
  </si>
  <si>
    <t>0-8194-5043-X</t>
  </si>
  <si>
    <t>10.1117/12.506895</t>
  </si>
  <si>
    <t>BY13C</t>
  </si>
  <si>
    <t>WOS:000187838700019</t>
  </si>
  <si>
    <t>Saenko, OA; Weaver, AJ</t>
  </si>
  <si>
    <t>Southern Ocean upwelling and eddies: sensitivity of the global overturning to the surface density range</t>
  </si>
  <si>
    <t>TELLUS SERIES A-DYNAMIC METEOROLOGY AND OCEANOGRAPHY</t>
  </si>
  <si>
    <t>THERMOHALINE CIRCULATION; ENERGETICS</t>
  </si>
  <si>
    <t>A simple interhemispheric ocean model is used to examine the sensitivity of water sinking in the northern hemisphere to the equator-to-pole density contrast. The model assumes that the sinking is compensated by upwelling in both the low latitude ocean and the Southern Ocean. We compare two vertical mixing schemes: one with a fixed vertical diffusivity and another with fixed mixing energy. The latter case implies that the vertical diffusivity depends on the simulated oceanic Circulation. It is shown that when Southern Ocean upwelling is controlled only by northward Ekman transport. the rate of deep water formation has an opposite dependence on the equator-to-pole density contrast between the two vertical mixing schemes. However. when Southern Ocean upwelling is controlled by both Ekman transport and strong enough eddy-induced transport across the Antarctic Circumpolar Current, the two mixing, schemes give qualitatively similar dependence: the rate of water sinking increases with the equator-to-pole density contrast, regardless of whether the diffusivity or the mixing energy is held fixed. It is suggested that the ACC eddies and vertical mixing jointly control the response of the overturning circulation to changes in the equator-to-pole density contrast.</t>
  </si>
  <si>
    <t>Univ Victoria, Sch Earth &amp; Ocean Sci, Victoria, BC V8W 3P6, Canada</t>
  </si>
  <si>
    <t>University of Victoria</t>
  </si>
  <si>
    <t>Saenko, OA (corresponding author), Univ Victoria, Sch Earth &amp; Ocean Sci, POB 3055, Victoria, BC V8W 3P6, Canada.</t>
  </si>
  <si>
    <t>Weaver, Andrew J/E-7590-2011</t>
  </si>
  <si>
    <t>Weaver, Andrew J/0000-0001-8919-3598</t>
  </si>
  <si>
    <t>BLACKWELL MUNKSGAARD</t>
  </si>
  <si>
    <t>COPENHAGEN</t>
  </si>
  <si>
    <t>35 NORRE SOGADE, PO BOX 2148, DK-1016 COPENHAGEN, DENMARK</t>
  </si>
  <si>
    <t>0280-6495</t>
  </si>
  <si>
    <t>TELLUS A</t>
  </si>
  <si>
    <t>Tellus Ser. A-Dyn. Meteorol. Oceanol.</t>
  </si>
  <si>
    <t>10.1034/j.1600-0870.2003.201518.x</t>
  </si>
  <si>
    <t>642NT</t>
  </si>
  <si>
    <t>Green Published, hybrid</t>
  </si>
  <si>
    <t>WOS:000180811000007</t>
  </si>
  <si>
    <t>Leane, E</t>
  </si>
  <si>
    <t>Antarctic theatricals:: The frozen farce of Scott's first expedition (Robert Falcon!Scott's Discovery crew members performed an adapted version of a farce by dramatist Watts!Phillips, entitled A 'Ticket-of-Leave')</t>
  </si>
  <si>
    <t>THEATRE NOTEBOOK</t>
  </si>
  <si>
    <t>Univ Tasmania, Hobart, Tas 7001, Australia</t>
  </si>
  <si>
    <t>Leane, E (corresponding author), Univ Tasmania, Hobart, Tas 7001, Australia.</t>
  </si>
  <si>
    <t>Leane, Elizabeth M/J-7138-2014</t>
  </si>
  <si>
    <t>Leane, Elizabeth/0000-0002-7954-6529</t>
  </si>
  <si>
    <t>SOC THEATRE RES</t>
  </si>
  <si>
    <t>77 KINNERTON ST, LONDON SW1X 8ED, ENGLAND</t>
  </si>
  <si>
    <t>0040-5523</t>
  </si>
  <si>
    <t>Theatre Noteb.</t>
  </si>
  <si>
    <t>Theater</t>
  </si>
  <si>
    <t>Arts &amp; Humanities Citation Index (A&amp;HCI)</t>
  </si>
  <si>
    <t>758MN</t>
  </si>
  <si>
    <t>WOS:000187638000003</t>
  </si>
  <si>
    <t>Luccini, E; Cede, A; Piacentini, RD</t>
  </si>
  <si>
    <t>Effect of clouds on UV and total irradiance at Paradise Bay, Antarctic Peninsula, from a summer 2000 campaign</t>
  </si>
  <si>
    <t>THEORETICAL AND APPLIED CLIMATOLOGY</t>
  </si>
  <si>
    <t>ULTRAVIOLET-RADIATION ENVIRONMENT; SURFACE ALBEDO; OZONE; SNOW; STATION; SOLAR; BUDGET; ICE</t>
  </si>
  <si>
    <t>The analysis of ground-based measurements of solar erythemal ultraviolet (UV) irradiance with a Solar Light 501 biometer, and total (300-3000 nm) irradiance with an Eppley B&amp;W pyranometer at the Argentine Antarctic Base Almirante Brown, Paradise Bay (64.9degrees S, 62.9degrees W, 10 m a.s.l.) is presented. Measurement period extends from February 16 to March 28 2000. A relatively high mean albedo and a very clean atmosphere characterise the place. Sky conditions were of generally high cloud cover percentage. Clear-sky irradiance for each day was estimated with model calculations, and the effect of the cloudiness was studied through the ratio of measured to clear-sky value (r). Two particular cases were analysed: overcast sky without precipitation and overcast sky with rain or slight snowfall, the last one presenting frequently dense fog. Total irradiance was more attenuated than UV by the homogeneous cloudiness, obtaining mean r values of 0.54 for erythemal irradiance and 0.30 for total irradiance in the first case (without precipitation) and 0.27 and 0.17 respectively in the second case (with precipitation). Mean r values for the complete period were 0.58 for erythemal irradiance and 0.43 for total irradiance. Erythemal and total daily insolations reduce quickly at this epoch due to the increase of the noon solar zenith angle and the decrease of daylight time. Additionally, they were strongly modulated by cloudiness. Measured maxima were 2.71 kJ/m(2) and 18.42 MJ/m(2) respectively. Measurements were compared with satellite data. TOMS-inferred erythemal daily insolation shows the typical underestimation with respect to ground measurements at regions of high mean albedo. Measured mean total daily insolation agrees with climatological satellite data for the months of the campaign.</t>
  </si>
  <si>
    <t>Univ Nacl Rosario, CONICET, Inst Fis Rosario, Grp Energia Solar, RA-2000 Rosario, Santa Fe, Argentina; Univ Innsbruck, Inst Med Phys, A-6020 Innsbruck, Austria</t>
  </si>
  <si>
    <t>National University of Rosario; Consejo Nacional de Investigaciones Cientificas y Tecnicas (CONICET); University of Innsbruck</t>
  </si>
  <si>
    <t>Luccini, E (corresponding author), Univ Nacl Rosario, CONICET, Inst Fis Rosario, Grp Energia Solar, 27 Febrero 210 Bis, RA-2000 Rosario, Santa Fe, Argentina.</t>
  </si>
  <si>
    <t>luccini@ifir.ifir.edu.ar; alexander.cede@uibk.ac.at; piacent@ifir.ifir.edu.ar</t>
  </si>
  <si>
    <t>0177-798X</t>
  </si>
  <si>
    <t>1434-4483</t>
  </si>
  <si>
    <t>THEOR APPL CLIMATOL</t>
  </si>
  <si>
    <t>Theor. Appl. Climatol.</t>
  </si>
  <si>
    <t>10.1007/s00704-003-0729-5</t>
  </si>
  <si>
    <t>688WV</t>
  </si>
  <si>
    <t>WOS:000183461000009</t>
  </si>
  <si>
    <t>Nardino, M; Georgiadis, T</t>
  </si>
  <si>
    <t>Cloud type and cloud cover effects on the surface radiative balance at several Polar sites</t>
  </si>
  <si>
    <t>ARCTIC-OCEAN; CLIMATE; FLUXES; BUDGET; ICE; PARAMETERIZATION; SENSITIVITY; GREENLAND; SNOWMELT</t>
  </si>
  <si>
    <t>The present work concerns measurements performed at five Polar sites in order to study the influence of cloud type and cloud cover on the surface radiative balance. Cloud cover index was retrieved with the Kasten and Czeplak formula (1980), and comparison with observed values showed the possibility of applying this formula in Polar regions. The Duchon and O'Malley (1999) methodology was adopted to estimate the cloud types present during the measurement period for each site. The results show that during the Antarctic summer clouds have a warming effect on the surface, while during a melting event recorded in the Arctic site clouds have a net cooling effect on the surface. This result allows us to conclude that, during a melting period a different cloud type formation, and a lower surface albedo, modify the effects of clouds on the surface radiation balance.</t>
  </si>
  <si>
    <t>CNR, CNR, ISAC, I-40129 Bologna, Italy</t>
  </si>
  <si>
    <t>Consiglio Nazionale delle Ricerche (CNR); Istituto di Scienze dell'Atmosfera e del Clima (ISAC-CNR)</t>
  </si>
  <si>
    <t>CNR, CNR, ISAC, Via Gobetti 101, I-40129 Bologna, Italy.</t>
  </si>
  <si>
    <t>m.nardino@isac.cnr.it</t>
  </si>
  <si>
    <t>Georgiadis, Teodoro/I-5666-2012; Nardino, Marianna/B-9563-2015; Georgiadis, Teodoro/AAH-4342-2019</t>
  </si>
  <si>
    <t>Georgiadis, Teodoro/0000-0002-3103-038X; Georgiadis, Teodoro/0000-0002-3103-038X; Nardino, Marianna/0000-0001-9466-8340</t>
  </si>
  <si>
    <t>10.1007/s00704-002-0708-2</t>
  </si>
  <si>
    <t>666WP</t>
  </si>
  <si>
    <t>WOS:000182199700005</t>
  </si>
  <si>
    <t>Birnbaum, G</t>
  </si>
  <si>
    <t>Simulation of the atmospheric circulation in the Weddell Sea region using the limited-area model REMO</t>
  </si>
  <si>
    <t>ANTARCTIC CIRCUMPOLAR WAVE; CLIMATE SYSTEM MODEL; VALIDATION; ICE; SENSITIVITY; LATITUDES; OCEAN</t>
  </si>
  <si>
    <t>To analyse the applicability of a limited-area atmosphere model to the Southern Ocean, a one-year simulation for 1985 is performed using the REgional MOdel REMO at 55km horizontal grid-spacing implemented for the Antarctic regions of the Weddell, Bellingshausen and Amundsen Seas. To evaluate the performance of REMO, a comparison of model results to observations and to reanalysis/analysis data sets is carried out. REMO is initialized and driven at the lateral and lower boundaries by data of the European Centre for Medium-Range Weather Forecasts (ECMWF) reanalysis (ERA15). Overall, REMO is an appropriate tool for further climate studies in Antarctic regions. It reproduces reasonably well basic spatial patterns and the seasonal cycle of the atmospheric circulation. However, the simulated mean sea level pressure (MSLP) is predominantly lower than the MSLP provided by observations and by ERA. Considerable temperature differences in the lower troposphere over sea ice in winter cause discrepancies between the REMO and ERA pressure fields in the mid-troposphere too. The precipitation rate P of the REMO simulation agrees qualitatively well with main features of the observed climatological spatial distribution described in literature. The seasonal cycle of P in the inner Weddell Sea reflects the Antarctic semi-annual oscillation. Concerning the forcing fields, the ERA sea ice surface temperatures in winter are generally higher than satellite derived surface temperatures. Although the differences are 10 to 15 K in the southern Weddell Sea, this deficiency of the ERA data hardly influences the mean large-scale circulation.</t>
  </si>
  <si>
    <t>Birnbaum, G (corresponding author), Alfred Wegener Inst Polar &amp; Marine Res, Postfach 120161, D-27515 Bremerhaven, Germany.</t>
  </si>
  <si>
    <t>Birnbaum, Gerit/D-4350-2014</t>
  </si>
  <si>
    <t>Birnbaum, Gerit/0000-0002-0252-6781</t>
  </si>
  <si>
    <t>SPRINGER-VERLAG WIEN</t>
  </si>
  <si>
    <t>VIENNA</t>
  </si>
  <si>
    <t>SACHSENPLATZ 4-6, PO BOX 89, A-1201 VIENNA, AUSTRIA</t>
  </si>
  <si>
    <t>10.1007/s00704-002-0680-x</t>
  </si>
  <si>
    <t>WOS:000182199700010</t>
  </si>
  <si>
    <t>Angel, R</t>
  </si>
  <si>
    <t>Lacoste, H</t>
  </si>
  <si>
    <t>Direct detection of terrestrial exoplanets: Comparing the potential for space and ground telescopes</t>
  </si>
  <si>
    <t>TOWARDS OTHER EARTHS: DARWIN/TPF AND THE SEARCH FOR EXTRASOLAR TERRESTRIAL PLANETS, PROCEEDINGS</t>
  </si>
  <si>
    <t>ESA SPECIAL PUBLICATIONS</t>
  </si>
  <si>
    <t>Conference on Towards Other Earths - DARWIN/TPF and the Search for Extrasolar Terrestrial Planets</t>
  </si>
  <si>
    <t>APR 22-25, 2003</t>
  </si>
  <si>
    <t>Heidelberg, GERMANY</t>
  </si>
  <si>
    <t>EXTRASOLAR PLANETS; ADAPTIVE OPTICS; INTERFEROMETER; PERFORMANCE</t>
  </si>
  <si>
    <t>Telescopes of various different designs are potentially capable of detecting extrasolar terrestrial planets. We analyze here in a consistent way the limiting sensitivities set by photon noise from the background underlying the planet signal, which may be of thermal, zodiacal or stellar origin, The strength of the unsuppressed stellar halo is itself set by photon noise in wavefront measurement. While optical telescopes have potentially higher limiting sensitivity, thermal detection is more secure. At 11 mum wavelength, the planet/star contrast is 1000 times more favorable than in the optical. Together with the longer wavelength, this leads to a 500 times more relaxed tolerance for star suppression, one that can be met by a fast servo based on the bright star flux sensed at shorter wavelengths. Either Darwin or a 100 m ground telescope should be capable of thermal detection of the earth in a solar system twin at 10 pc at 5 to 10sigma in 24 hr. At optical wavelengths, the limiting sensitivity for space telescopes is set at the 10-30sigma level by photon noise in the zodiacal background. Reaching this limit, as do the deep fields of the Hubble Space Telescope, will require extreme coronagraphic suppression of the bright star at 0.1 arcsec separation. The similar to1 m-scale Fourier components of the wavefront would need to have stable amplitude less than or equal to 2 picometers, a severe challenge. On the ground, fast atmospheric correction at the photon noise limit will leave residual Fourier amplitudes of 20-60 pm, for a halo background 100-1000 times zodiacal. But given larger apertures and stronger fluxes, optical sensitivity can still be high, provided the photon noise limit of short halo exposures can be maintained in a long-term average. If this challenge can be met, detection in 24 hr would be at the 5sigma level for a 20 in Antarctic telescope, similar to50sigma for the 100 m OWL. If a terrestrial planet were detected at 10 pc, a spectrum that could reveal water and oxygen would be of great interest. Thermal features can be accessed only from space, where broad spectral cover is possible. Optical spectroscopy could be undertaken with a 100 m telescope on the ground. An Antarctic location would give high sensitivity to water, and the added benefit of thermal imaging with high sensitivity and resolution.</t>
  </si>
  <si>
    <t>Univ Arizona, Steward Observ, Ctr Astron Adapt Opt, Tucson, AZ 85721 USA</t>
  </si>
  <si>
    <t>Angel, R (corresponding author), Univ Arizona, Steward Observ, Ctr Astron Adapt Opt, Tucson, AZ 85721 USA.</t>
  </si>
  <si>
    <t>ESA PUBLICATIONS DIVISION C/O ESTEC</t>
  </si>
  <si>
    <t>2200 AG NOORDWIJK</t>
  </si>
  <si>
    <t>PO BOX 299, 2200 AG NOORDWIJK, NETHERLANDS</t>
  </si>
  <si>
    <t>0379-6566</t>
  </si>
  <si>
    <t>92-9092-849-2</t>
  </si>
  <si>
    <t>ESA SP PUBL</t>
  </si>
  <si>
    <t>BY94B</t>
  </si>
  <si>
    <t>WOS:000189500300023</t>
  </si>
  <si>
    <t>Lawrence, JS; Ashley, MCB; Burton, MG; Calisse, PG; Dempsey, JT; Everett, JR; Mather, O; Storey, JWV; Travoullion, T</t>
  </si>
  <si>
    <t>The AASTINO: Automated astrophysical site testing international observatory</t>
  </si>
  <si>
    <t>The AASTINO is a remote observatory that was deployed at the Italian/French base Dome C (75 S, 123 E, 3200 m) on the Antarctic plateau in January 2003. It is designed to run throughout the Antarctic winter without intervention, and to collect data on the astronomical qualities of the site: specifically the atmospheric turbulence profile, the infrared sky background, and the submillimetre opacity. The AASTINO represents an important step in the development of this site as a future astronomical observatory, which due to its excellent site qualities has the potential to act as an important technological step towards future space missions such as Darwin and TPF. The AASTINO also demonstrates the use of a unique hybrid power system in Antarctica, and a unique remote control systems architecture.</t>
  </si>
  <si>
    <t>Univ New S Wales, Sch Phys, Sydney, NSW 2052, Australia</t>
  </si>
  <si>
    <t>University of New South Wales Sydney</t>
  </si>
  <si>
    <t>Lawrence, JS (corresponding author), Univ New S Wales, Sch Phys, Sydney, NSW 2052, Australia.</t>
  </si>
  <si>
    <t>WOS:000189500300070</t>
  </si>
  <si>
    <t>Storey, JWV; Ashley, MCB; Burton, MG; Lawrence, JS</t>
  </si>
  <si>
    <t>The Antarctic plateau: What it offers as a testbed for space</t>
  </si>
  <si>
    <t>ESA Special Publications</t>
  </si>
  <si>
    <t>SOUTH-POLE</t>
  </si>
  <si>
    <t>The Antarctic plateau is unlike anywhere else on earth. It is of course extremely cold and dry. However, what is not so well known is that it is also very high and that the atmosphere above the plateau is extremely calm, with very low wind speeds at all altitudes. This makes the plateau an ideal location for testing astronomical instrumentation and for exploring concepts that will later be flown in space. In addition, the plateau provides an ideal location for future telescopes - including interferometers and Extremely Large Telescopes - that could carry out some crucial aspects of the science presently being considered for space missions such as Darwin and TPF.</t>
  </si>
  <si>
    <t>Storey, JWV (corresponding author), Univ New S Wales, Sch Phys, Sydney, NSW 2052, Australia.</t>
  </si>
  <si>
    <t>j.storey@unsw.edu.au</t>
  </si>
  <si>
    <t>Burton, Michael/0000-0001-7289-1998; Lawrence, Jon/0000-0002-6998-6993; Ashley, Michael/0000-0003-1412-2028</t>
  </si>
  <si>
    <t>ESA SPEC PUBL</t>
  </si>
  <si>
    <t>WOS:000189500300094</t>
  </si>
  <si>
    <t>Lieberman, BS</t>
  </si>
  <si>
    <t>Lane, PD; Siveter, DJ; Fortey, RA</t>
  </si>
  <si>
    <t>Biogeography of the trilobita during the Cambrian radiation: Deducing geological processes from trilobite evolution</t>
  </si>
  <si>
    <t>TRILOBITES AND THEIR RELATIVES</t>
  </si>
  <si>
    <t>Special Papers in Palaeontology Series</t>
  </si>
  <si>
    <t>3rd International Conference on Trilobites and Their Relatives</t>
  </si>
  <si>
    <t>Univ Museum Natl Hist, Oxford, ENGLAND</t>
  </si>
  <si>
    <t>Univ Museum Natl Hist</t>
  </si>
  <si>
    <t>Cambrian radiation; trilobites; biogeography; tectonics; Pannotia; vicariance; geo-dispersal</t>
  </si>
  <si>
    <t>DEPENDENT PERMUTATION TEST; EARLY PALEOZOIC TECTONISM; U-PB AGES; TRANSANTARCTIC MOUNTAINS; HISTORICAL BIOGEOGRAPHY; MORPHOLOGICAL DISPARITY; PHYLOGENETIC ANALYSIS; FOSSIL RECORD; NOVA-SCOTIA; LAURENTIA</t>
  </si>
  <si>
    <t>Biogeographic patterns are evaluated in Early Cambrian trilobites using a modified version of Brooks Parsimony Analysis. Analysis of patterns of vicariance yields three major biogeographic groupings: the first Suggests area relationship between Siberia, parts of west Gondwana and regions marginal to it, and south-western Laurentia; the second suggests area relationship between Baltica, eastern Laurentia, and north-western Laurentia; and the third groups Antarctic and Australian faunas. The patterns of area relationship between south-western Laurentia and regions lying along the western part of Gondwana provides evidence for a vicariance event in trilobite evolution relating to the breakup of Pannotia; this implies that there was potentially a homogeneous group of trilobites distributed across Pannotia prior to its break up. As this supercontinent broke up between 600-550 Ma it suggests that trilobite cladogenesis predates, perhaps significantly so, the Cambrian radiation and the first appearance of trilobites in the fossil record. Based on the phylogenetic position of trilobites, a clade nested well within the Metazoa, this result from biogeography provides further support for the argument that the Cambrian radiation actually has fairly deep roots extending back at least into the late Neoproterozoic. Patterns of geo-dispersal were also evaluated and these were poorly resolved. This result suggests that the tectonic regime in the late Neoproterozoic and Early Cambrian which most influenced patterns of trilobite evolution was continental fragmentation leading, to vicariance.</t>
  </si>
  <si>
    <t>Univ Kansas, Dept Geol, Lawrence, KS 66045 USA</t>
  </si>
  <si>
    <t>Univ Kansas, Dept Geol, Lindley Hall,1475 Jayhawk Blvd,Rm 120, Lawrence, KS 66045 USA.</t>
  </si>
  <si>
    <t>blieber@ku.edu</t>
  </si>
  <si>
    <t>Lieberman, Bruce/0000-0002-4353-7874</t>
  </si>
  <si>
    <t>PALAEONTOLOGICAL ASSOC</t>
  </si>
  <si>
    <t>ABERYSTWYTH</t>
  </si>
  <si>
    <t>C/O DR TIM PALMER, I G E S , UNIV WALES, ABERYSTWYTH SY23 3DB, WALES</t>
  </si>
  <si>
    <t>0038-6804</t>
  </si>
  <si>
    <t>0-901702-81-1</t>
  </si>
  <si>
    <t>SPEC PAP PALAEONTOL</t>
  </si>
  <si>
    <t>Spec. Pap. Palaeontol.</t>
  </si>
  <si>
    <t>BY80T</t>
  </si>
  <si>
    <t>WOS:000189467800005</t>
  </si>
  <si>
    <t>Lubin, D; Arrigo, K; Holm-Hansen, O</t>
  </si>
  <si>
    <t>Slusser, JR; Herman, JR; Gao, W</t>
  </si>
  <si>
    <t>Assessing the ecological impact of the Antarctic ozone hole using multisensor satellite data</t>
  </si>
  <si>
    <t>ULTRAVIOLET GROUND- AND SPACE-BASED MEASUREMENTS, MODELS AND EFFECTS III</t>
  </si>
  <si>
    <t>Conference on Ultraviolet Ground- and Space-based Measurements, Models and Effects III</t>
  </si>
  <si>
    <t>AUG 04-06, 2003</t>
  </si>
  <si>
    <t>ozone; UV-inhibition; Antarctic; phytoplankton primary production; remote sensing.</t>
  </si>
  <si>
    <t>DELTA-EDDINGTON APPROXIMATION; ULTRAVIOLET-RADIATION; BIOOPTICAL PROPERTIES; PHYTOPLANKTON GROWTH; SOUTHERN-OCEAN; SEA-ICE; DEPLETION; INHIBITION; SURFACE; CLOUDS</t>
  </si>
  <si>
    <t>We have developed a satellite-based numerical simulation for determining the extent to which enhanced solar ultraviolet radiation (UVR) under the springtime Antarctic ozone decrease affects primary production throughout the Southern Ocean. This satellite approach using NASA Sea-viewing Wide Field-of-view Sensor (SeaWiFS) data for chlorophyll and phytoplankton biomass, passive microwave data for sea ice concentration, and Total Ozone Mapping Spectrometer (TOMS) data for total column ozone and cloud reflecivity, circumvents many of the limitations involved with extrapolating point field measurements to larger geographical areas. The satellite data are used to force a physiology-based model of phytoplankton growth in response to UV-B, UV-A, and photosynthetically active radiation (PAR). Comparison with field measurements in the Western Antarctic Peninsula region shows excellent agreement. UVR-induced losses of surface phytoplankton production were substantial under all ozone conditions, due mostly to UV-A. However, when integrated to the 0.1% light depth, the loss of primary production resulting from enhanced fluxes of UV-B due to ozone depletion was less than 0.25%. The loss of primary production is minimized by the strong attenuation of UVR in the water column and by the spatial and temporal mismatch between the maximum extent of the Antarctic ozone hole and the maximum abundance of phytoplankton in the open water.</t>
  </si>
  <si>
    <t>Lubin, D (corresponding author), Univ Calif San Diego, Scripps Inst Oceanog, 9500 Gilman Dr, La Jolla, CA 92093 USA.</t>
  </si>
  <si>
    <t>dlubin@ucsd.edu</t>
  </si>
  <si>
    <t>0-8194-5029-4</t>
  </si>
  <si>
    <t>10.1117/12.509148</t>
  </si>
  <si>
    <t>Engineering, Aerospace; Instruments &amp; Instrumentation</t>
  </si>
  <si>
    <t>Engineering; Instruments &amp; Instrumentation</t>
  </si>
  <si>
    <t>BY13B</t>
  </si>
  <si>
    <t>WOS:000187838400025</t>
  </si>
  <si>
    <t>Mariutti, GF; Bortolin, E; Polichetti, A; Anav, A; Casale, G; Di Menno, M; Rafanelli, C</t>
  </si>
  <si>
    <t>UV dosimetry in Antarctica (Baia Terranova): analysis of data from polysulphone films and GUV 511 radiometer</t>
  </si>
  <si>
    <t>ozone depletion; polar regions; UV personal dosimetry; polysulphone; radiometers</t>
  </si>
  <si>
    <t>ULTRAVIOLET-RADIATION; PERSONAL DOSIMETRY; EXPOSURE; SUNLIGHT; FIELD</t>
  </si>
  <si>
    <t>This paper shows the results of measurements carried out in November 2002 in the Italian Antarctic Base of Baia Terranova (74.07degreesS, 164.08degreesE) to test polysulphone film badges as possible UV personal dosimeters in such extreme environmental conditions. In the Italian Antarctic Base a multichannel radiometer GUV 511 (Biospherical Inc.) is routinely used by the Italian National Research Council (CNR) for UV irradiance at sea level. This instrument measures the intensity of the solar UV spectrum at four different wavelengths: 305, 320, 340, 380 nm, respectively. Data obtained from polysulphone badges exposed in the horizontal and the vertical configurations during diverse time lapses of the day, and from polysulphone badges worn by three volunteers of the base staff during several outdoors activities, have been compared with the irradiance data calculated from the measured values of GUV 511. A preliminary analysis of the whole data, also in the light of other recorded atmospheric and climatic parameters, shows a reasonable consistency. As also shown by previous measurements, carried out in June 2002 in the locality of Ny Alesund (Svalbard - Arctic Region), the calibration of the above mentioned personal dosimeters by means of another instrument operating in the same locality is a crucial step. Further work is required to demonstrate this approach is suitable for an. acceptable evaluation of personal radiant exposures.</t>
  </si>
  <si>
    <t>Ist Super Sanita, I-00161 Rome, Italy</t>
  </si>
  <si>
    <t>Istituto Superiore di Sanita (ISS)</t>
  </si>
  <si>
    <t>Mariutti, GF (corresponding author), Ist Super Sanita, Viale Regina Elena 299, I-00161 Rome, Italy.</t>
  </si>
  <si>
    <t>Casale, Giuseppe/B-9276-2013</t>
  </si>
  <si>
    <t>Casale, Giuseppe/0000-0001-8205-0551</t>
  </si>
  <si>
    <t>10.1117/12.509331</t>
  </si>
  <si>
    <t>WOS:000187838400026</t>
  </si>
  <si>
    <t>Rafanelli, C; Anav, A; Di Menno, I; Di Menno, M; Casale, GR</t>
  </si>
  <si>
    <t>UV solar irradiance with cloudiness at high latitudes; a comparison between radiometer GUV 511 and model's outputs</t>
  </si>
  <si>
    <t>solar UV irradiance; ozone; moderate-band radiometer; radiative transfer model</t>
  </si>
  <si>
    <t>ULTRAVIOLET-RADIATION; PHOTOCHEMICAL ACTIVITY; SURFACE ALBEDO; TOTAL OZONE; MULTICHANNEL; SCATTERING; CLOUDS; SNOW</t>
  </si>
  <si>
    <t>Solar UV irradiance measurements in Antarctica are often carried out by automatic or semiautomatic equipment. The unattended way of managing instruments needs accurate knowledge of the parameters affecting experimental data, among which cloudiness plays a fundamental role. A moderate-band multifilter radiometer and a total sky camera were installed for a test in the Italian Antarctic base (Terra Nova Bay, 74.07degreesS, 164.08degreesE) during the summer campaign 2002-2003. This paper shows preliminary results on the radiometer spectral data and a comparison with modelled spectral irradiances. Moreover, the radiometer integrated irradiance, computed by means of a new model, was compared with the updated Green model integrated irradiance, corrected by a cloud factor obtained from the sky camera images. Results showed good agreement on the integrated irradiances but poor results, except for 305 nm, when spectral values were analysed.</t>
  </si>
  <si>
    <t>CNR, Inst Atmospher Sci &amp; Climate, I-00133 Rome, Italy</t>
  </si>
  <si>
    <t>Rafanelli, C (corresponding author), CNR, Inst Atmospher Sci &amp; Climate, Via Fosso Cavaliere, I-00133 Rome, Italy.</t>
  </si>
  <si>
    <t>10.1117/12.509092</t>
  </si>
  <si>
    <t>WOS:000187838400040</t>
  </si>
  <si>
    <t>McMahon, CR; Hindell, M</t>
  </si>
  <si>
    <t>Twinning in southern elephant seals: the implications of resource allocation by mothers</t>
  </si>
  <si>
    <t>WILDLIFE RESEARCH</t>
  </si>
  <si>
    <t>MIROUNGA-LEONINA; WEANING MASS; LACTATION; PINNIPEDS; GROWTH; PUPS; EXPENDITURE; POPULATION; BEHAVIOR; SURVIVAL</t>
  </si>
  <si>
    <t>Southern elephant seals (Mirounga leonina) typically give birth to a single pup and raise it over a short 24-day lactation period. Lactation is characterised by: maternal fasting, rapid pup growth and abrupt weaning after which the weaned pups rely on stored fat for growth and survival. Females are not able to transfer all of their stored resources to their pups because they themselves need to use some to return to their remote foraging grounds after the breeding effort. Therefore the amount of energy expended by a female during lactation may affect not only the survival of her pup, but her own survival and future reproductive success. Female southern elephant seals are therefore under strong selective pressure to allocate finite amounts of resources to their pups. In the rare event of producing twins, females that wean both pups are likely to experience reduced reproductive success. Twin births accounted for 0.38% of all the observed elephant seal births at Macquarie Island in 1999. The mean birth masses, weaning lengths and lactation duration for twin and singleton pups did not differ significantly but weaning mass, weaning girths and lactation growth rates did differ significantly. In all cases, singleton pups were larger and grew faster than twin pups. Twin pups suffered greater pre-weaning mortality than singletons (16.7% and 4.6% respectively) and fewer were seen alive after 18 months (20% compared with 47% respectively).</t>
  </si>
  <si>
    <t>Australian Antarctic Div, Kingston, Tas 7050, Australia; Univ Pretoria, Mammal Res Inst, ZA-0002 Pretoria, Gauteng, South Africa; Univ Tasmania, Sch Zool, Antarctic Wildlife Res Unit, Hobart, Tas 7001, Australia</t>
  </si>
  <si>
    <t>Australian Antarctic Division; University of Pretoria; University of Tasmania</t>
  </si>
  <si>
    <t>McMahon, CR (corresponding author), Australian Antarctic Div, Channel Highway, Kingston, Tas 7050, Australia.</t>
  </si>
  <si>
    <t>McMahon, Clive R/D-5713-2013; Hindell, Mark A/K-1131-2013</t>
  </si>
  <si>
    <t>McMahon, Clive R/0000-0001-5241-8917; Hindell, Mark/0000-0002-7823-7185</t>
  </si>
  <si>
    <t>1035-3712</t>
  </si>
  <si>
    <t>WILDLIFE RES</t>
  </si>
  <si>
    <t>Wildl. Res.</t>
  </si>
  <si>
    <t>10.1071/WR01069</t>
  </si>
  <si>
    <t>667BN</t>
  </si>
  <si>
    <t>WOS:000182211100004</t>
  </si>
  <si>
    <t>van den Hoff, J; Davies, R; Burton, H</t>
  </si>
  <si>
    <t>Origins, age composition and change in numbers of moulting southern elephant seals (Mirounga leonina L.) in the Windmill Islands, Vincennes Bay, east Antarctica, 1988-2001</t>
  </si>
  <si>
    <t>POPULATION; PATTERNS</t>
  </si>
  <si>
    <t>We discovered that the number of male southern elephant seals (Mirounga leonina) moulting at wallow sites in the Windmill Islands, Vincennes Bay, Antarctica has decreased by 88% since the last data were presented in 1989. This figure equates to an annual decrease of 6.5%, a figure quite different to the known population trends at the islands from where the seals originate. The seals inhabited four fewer wallows in 2001 than in 1990. Brand and tag resights confirm that seals moulting at Browning Peninsula and Peterson Island originate from Macquarie Island and Heard Island. Male seals aged 1 - 7+ years of age were present but most (68%) were aged over 7. Males aged 4 years old began to haul out in mid-February while prior to that time only male seals older than 5 years were seen. Timing of moult for particular age classes was similar to that observed at other breeding islands. Trends in the numbers of adolescent and mature male seals hauled out at the sub-antarctic breeding locations require investigation.</t>
  </si>
  <si>
    <t>CSIRO PUBLISHING</t>
  </si>
  <si>
    <t>CLAYTON</t>
  </si>
  <si>
    <t>UNIPARK, BLDG 1, LEVEL 1, 195 WELLINGTON RD, LOCKED BAG 10, CLAYTON, VIC 3168, AUSTRALIA</t>
  </si>
  <si>
    <t>1448-5494</t>
  </si>
  <si>
    <t>10.1071/WR01086</t>
  </si>
  <si>
    <t>704NG</t>
  </si>
  <si>
    <t>WOS:000184345300012</t>
  </si>
  <si>
    <t>Muscari, G; Santee, ML; de Zafra, RL</t>
  </si>
  <si>
    <t>Intercomparison of stratospheric HNO3 measurements over Antarctica:: Ground-based millimeter-wave versus UARS/MLS Version 5 retrievals -: art. no. 4809</t>
  </si>
  <si>
    <t>JOURNAL OF GEOPHYSICAL RESEARCH-ATMOSPHERES</t>
  </si>
  <si>
    <t>intercomparison; nitric acid; polar stratosphere</t>
  </si>
  <si>
    <t>ATMOSPHERE RESEARCH SATELLITE; SPECTROSCOPIC MEASUREMENTS; SOUTH-POLE; WINTER; OZONE; TEMPERATURE; CHEMISTRY; EVOLUTION; NITROGEN; VORTEX</t>
  </si>
  <si>
    <t>[1] We present the first intercomparison between the two most comprehensive records of gas-phase HNO3 profiles in the Antarctic stratosphere, covering the greater part of 1993 and 1995. We compare measurements by the Stony Brook Ground-Based Millimeter-wave Spectrometer (GBMS) at the South Pole with Version 5 HNO3 data from the Microwave Limb Sounder (MLS) aboard the Upper Atmospheric Research Satellite. Trajectory tracing was used to select MLS measurements in the 70degrees-80degreesS latitude band that sampled air observed by the GBMS during passage over the Pole. When temperatures were near the HNO3 condensation range, additional screening was performed to select MLS measurements that sampled air parcels within 1.5 K of the temperature they experienced over the Pole. Quantitative comparisons are given at 7 different potential temperature levels spanning the range similar to19-30 km. Agreement between the data sets is quite good between 465 and 655 K ( similar to20-25 km) during a large fraction of the year. Agreement is best during winter and spring, when seasonally averaged differences are generally within 1 ppbv below similar to25 km. At higher altitudes, and during summer and fall, the agreement becomes worse, and GBMS measurements can exceed MLS values by more than 3 ppbv. We provide evidence that differences occurring in the lower stratosphere during fall are due to lack of colocation between the two data sets during a period of strong poleward gradients in HNO3. Remaining discrepancies between GBMS and MLS V5 HNO3 measurements are thought to be due to instrumental or retrieval biases.</t>
  </si>
  <si>
    <t>SUNY Stony Brook, Dept Phys &amp; Astron, Stony Brook, NY 11794 USA; CALTECH, Jet Prop Lab, Pasadena, CA 91109 USA</t>
  </si>
  <si>
    <t>State University of New York (SUNY) System; State University of New York (SUNY) Stony Brook; California Institute of Technology; National Aeronautics &amp; Space Administration (NASA); NASA Jet Propulsion Laboratory (JPL)</t>
  </si>
  <si>
    <t>Muscari, G (corresponding author), Univ Roma La Sapienza, Dipartimento Fis, Ple Aldo Moro 5, Rome, Italy.</t>
  </si>
  <si>
    <t>muscari@g24ux.phys.uniroma1.it; michelle.l.santee@jpl.nasa.gov; rdezafra@notes.ce.sunysb.edu</t>
  </si>
  <si>
    <t>Santee, MIchelle/R-5762-2019</t>
  </si>
  <si>
    <t>Muscari, Giovanni/0000-0001-6326-2612</t>
  </si>
  <si>
    <t>2169-897X</t>
  </si>
  <si>
    <t>J GEOPHYS RES-ATMOS</t>
  </si>
  <si>
    <t>J. Geophys. Res.-Atmos.</t>
  </si>
  <si>
    <t>DEC 31</t>
  </si>
  <si>
    <t>D24</t>
  </si>
  <si>
    <t>10.1029/2002JD002546</t>
  </si>
  <si>
    <t>650KF</t>
  </si>
  <si>
    <t>WOS:000181262000010</t>
  </si>
  <si>
    <t>Chaigneau, A; Morrow, R</t>
  </si>
  <si>
    <t>Surface temperature and salinity variations between Tasmania and Antarctica, 1993-1999</t>
  </si>
  <si>
    <t>JOURNAL OF GEOPHYSICAL RESEARCH-OCEANS</t>
  </si>
  <si>
    <t>SOUTHERN-OCEAN; CIRCUMPOLAR CURRENT; ALTIMETRY; FRONTS</t>
  </si>
  <si>
    <t>[1] Continuous surface temperature and salinity measurements have been collected onboard a supply ship between Tasmania and Dumont D'Urville, Antarctica, as part of the SURVOSTRAL program (Surveillance de l'Oce'an Austral). The ship makes 6-10 repeat sections per year from October to March for the period 1993-1999, and these measurements form the longest time series of spring and summer variations available in the Southern Ocean. The surface fronts are more clearly indicated with the salinity data than the temperature data. The Levitus climatological and Reynolds satellite monthly mean sea surface temperature data compare well with our surface temperature data: All data sets are dominated by the large-scale seasonal heating cycle with similar amplitude and phase. The SURVOSTRAL monthly mean sea surface salinity data show weak seasonal variations, except in the Antarctic Continental Zone where seasonal sea-ice variations introduce large surface freshwater fluctuations. The Levitus climatological surface salinity has too much seasonal variability and fails to reproduce the sharp fronts, the near-constant salinity in the Antarctic Zone, and the seasonal freshening near Antarctica. This has important consequences for projects that use Levitus climatology data to establish the surface salinity structure and water mass characteristics.</t>
  </si>
  <si>
    <t>LEGOS, GRGS, UMR5566, F-31401 Toulouse 4, France</t>
  </si>
  <si>
    <t>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t>
  </si>
  <si>
    <t>LEGOS, GRGS, UMR5566, 18 Av Edouard Belin, F-31401 Toulouse 4, France.</t>
  </si>
  <si>
    <t>Alexis.Chaigneau@cnes.fr; Rosemary.Morrow@cnes.fr</t>
  </si>
  <si>
    <t>Chaigneau, Alexis/E-4324-2010</t>
  </si>
  <si>
    <t>chaigneau, alexis/0000-0001-6770-0114</t>
  </si>
  <si>
    <t>2169-9275</t>
  </si>
  <si>
    <t>2169-9291</t>
  </si>
  <si>
    <t>J GEOPHYS RES-OCEANS</t>
  </si>
  <si>
    <t>J. Geophys. Res.-Oceans</t>
  </si>
  <si>
    <t>C12</t>
  </si>
  <si>
    <t>10.1029/2001JC000808</t>
  </si>
  <si>
    <t>649XR</t>
  </si>
  <si>
    <t>WOS:000181233700001</t>
  </si>
  <si>
    <t>Moros, M; Kuijpers, A; Snowball, I; Lassen, S; Bäckström, D; Gingele, F; McManus, J</t>
  </si>
  <si>
    <t>Were glacial iceberg surges in the North Atlantic triggered by climatic warming?</t>
  </si>
  <si>
    <t>MARINE GEOLOGY</t>
  </si>
  <si>
    <t>North Atlantic; magnetic susceptibility; Heinrich events; ice-rafting detritus; palaeocurrents</t>
  </si>
  <si>
    <t>LATE QUATERNARY SEDIMENTATION; DEEP-WATER; REYKJANES RIDGE; NORWEGIAN SEA; NORDIC SEAS; OCEAN CIRCULATION; SOUTHERN-OCEAN; ICE-SHEET; SURFACE HYDROGRAPHY; LAST DEGLACIATION</t>
  </si>
  <si>
    <t>High-resolution physical, mineralogical, sedimentological and micropalaeontological studies were carried out on North Atlantic cores from the Reykjanes Ridge at 59degreesN and from the region southwest of the Faeroe Islands. All core sites are situated along the pathway of Iceland-Scotland Overflow Water (ISOW) and the various parameters measured display similar features. Previously identified carbonate oscillations [Keigwin and Jones (1994) J. Geophys. Res., 99, 12397-12410] in the time span back to the Marine Isotope Stage 5-4 transition and Late Glacial lithic events [Bond and Lotti (1995) Science, 267, 1005-1010], such as the Heinrich ice-rafting events, are all represented in the core records. Long-term trends and higher-frequency changes in ISOW intensity were reconstructed on the basis of various independent proxy records. The long-term trends in circulation match theoretical orbitally forced insolation changes. Our observed links between ice-rafted detritus (IRD) input, variations in sea surface temperature (SST) and circulation at greater depth point to the need to re-examine the origin of IRD events. We suggest that these events may have been triggered by enhanced, partly sub-surface, heat transport to the-north. Enhanced northward heat transport may have caused bottom melting of floating outlet glaciers and ice shelves, leading to increased iceberg discharge and ice sheet destabilization. This discharge. resulted in lower SST's and a lower temperature over Greenland. Thus, as shown by our records, this scenario implies a temporary de-coupling of surface processes and circulation at greater depth. A key feature is the occurrence of a-saw-tooth pattern in the marine data, which is similar to the Greenland ice core records. Moreover, the 'warming' theory of IRD events would explain the observed 'out-of-phase' relationship between the Greenland and Antarctic ice-core records and also the rapid establishment of higher temperatures over Greenland immediately after the cold phases (stadials) of the Dansgaard-Oeschger cycles. (C) 2002 Elsevier Science B.V. All rights reserved.</t>
  </si>
  <si>
    <t>Baltic Sea Res Inst, D-18119 Rostock, Germany; Geol Surg Denmark &amp; Greenland, DK-1350 Copenhagen K, Denmark; Lund Univ, SE-22363 Lund, Sweden; Ctr Earth Sci, S-41381 Gothenburg, Sweden; Woods Hole Oceanog Inst, Dept Geol &amp; Geophys, Woods Hole, MA 02543 USA</t>
  </si>
  <si>
    <t>Leibniz Institut fur Ostseeforschung Warnemunde; Geological Survey Of Denmark &amp; Greenland; Lund University; Woods Hole Oceanographic Institution</t>
  </si>
  <si>
    <t>Bjerknes Ctr Climate Res, Allegaten 55, N-5007 Bergen, Norway.</t>
  </si>
  <si>
    <t>matthias.moros@bjerknes.uib.no; aku@geus.dk; ian.snowball@geol.lu.se; sl@geus.dk; denise@mit.edu; franz.gingele@io-warnemuende.de; jmcmanus@whoi.edu</t>
  </si>
  <si>
    <t>Snowball, Ian/0000-0002-6257-3088; mcmanus, jerry/0000-0002-7365-1600</t>
  </si>
  <si>
    <t>0025-3227</t>
  </si>
  <si>
    <t>1872-6151</t>
  </si>
  <si>
    <t>MAR GEOL</t>
  </si>
  <si>
    <t>Mar. Geol.</t>
  </si>
  <si>
    <t>DEC 30</t>
  </si>
  <si>
    <t>PII S0025-3227(02)000592-3</t>
  </si>
  <si>
    <t>10.1016/S0025-3227(02)00592-3</t>
  </si>
  <si>
    <t>Geosciences, Multidisciplinary; Oceanography</t>
  </si>
  <si>
    <t>Geology; Oceanography</t>
  </si>
  <si>
    <t>676WU</t>
  </si>
  <si>
    <t>WOS:000182776200004</t>
  </si>
  <si>
    <t>Lucchi, RG; Rebesco, M; Camerlenghi, A; Busetti, M; Tomadin, L; Villa, G; Persico, D; Morigi, C; Bonci, MC; Giorgetti, G</t>
  </si>
  <si>
    <t>Mid-late glacimarine sedimentary processes of a high-latitude, deep-sea sediment drift (Antarctic Peninsula Pacific margin) (vol 189, pg 343, 2002)</t>
  </si>
  <si>
    <t>Inst Nazl Oceanog &amp; Geofis Sperimentale OGS, I-34010 Trieste, Italy; Univ Urbino, Dipartimento Geodinam &amp; Sedimentol, I-61029 Urbino, Italy; Univ Parma, Dipartimento Sci Geol, I-43100 Parma, Italy; Consiglio Nazl Richerche, Inst Geol Marina, Bologna, Italy; Univ Genoa, Dipartimento Studio Terr &amp; Risorse, Genoa, Italy; Univ Siena, Dipartimento Sci Terra, I-53100 Siena, Italy</t>
  </si>
  <si>
    <t>Istituto Nazionale di Oceanografia e di Geofisica Sperimentale; University of Urbino; University of Parma; University of Genoa; University of Siena</t>
  </si>
  <si>
    <t>Lucchi, RG (corresponding author), Inst Nazl Oceanog &amp; Geofis Sperimentale OGS, Borgo Grotta Gigante 42-C, I-34010 Trieste, Italy.</t>
  </si>
  <si>
    <t>Camerlenghi, Angelo/O-1593-2013; Rebesco, Michele/B-7462-2014; Camerlenghi, Angelo/AAG-3852-2019; Busetti, Martina/L-5185-2014; Camerlenghi, Angelo/C-8816-2011; Morigi, Caterina/B-3316-2012</t>
  </si>
  <si>
    <t>Camerlenghi, Angelo/0000-0002-8128-9533; Rebesco, Michele/0000-0002-9492-4081; Camerlenghi, Angelo/0000-0002-8128-9533; Busetti, Martina/0000-0001-7039-3282; Morigi, Caterina/0000-0003-1340-9932; Giorgetti, Giovanna/0000-0001-6233-4485; Lucchi, Renata Giulia/0000-0001-5111-6968; Persico, Davide/0000-0001-5194-9724</t>
  </si>
  <si>
    <t>PII S0025-3227(02)00578-9</t>
  </si>
  <si>
    <t>10.1016/S0025-3227(02)00578-9</t>
  </si>
  <si>
    <t>WOS:000182776200010</t>
  </si>
  <si>
    <t>Cede, A; Blumthaler, M; Luccini, E; Piacentini, RD; Nuñez, L</t>
  </si>
  <si>
    <t>Effects of clouds on erythemal and total irradiance as derived from data of the Argentine Network -: art. no. 2223</t>
  </si>
  <si>
    <t>GEOPHYSICAL RESEARCH LETTERS</t>
  </si>
  <si>
    <t>RADIATION; CLOUDINESS</t>
  </si>
  <si>
    <t>[1] Ultraviolet (UV) erythemal and total (300-3000 nm) irradiance measurements of the Argentine Servicio Meteorologico Nacional Network were related to ground-based cloud observations. No geographical dependence was observed in the effects of each cloud-type on the irradiance, from tropical to Antarctic regions. For overcast conditions, median transmittance percentages with respect to the clearsky situation of 81%, 44% and 36% at high, medium and low clouds respectively for erythemal irradiance, and 83%, 30% and 23% for total irradiance were determined, similar to results at mid-latitudes of the Northern Hemisphere. Irradiance enhancement by broken cloud fields is more pronounced from 5 to 7 octas cloud coverage and can last even hours, with peak instantaneous values of 113% for erythemal and 133% for total irradiance, with respect to the very clean clearsky situation. In each case, the total irradiance is usually more attenuated and also more enhanced by clouds than the erythemal irradiance.</t>
  </si>
  <si>
    <t>Univ Innsbruck, Inst Med Phys, A-6020 Innsbruck, Austria; Univ Nacl Rosario, CONICET, Inst Fis Rosario, RA-2000 Rosario, Santa Fe, Argentina; Univ Nacl Rosario, Fac Ciencias Exactas Ingn &amp; Agrimensura, RA-2000 Rosario, Santa Fe, Argentina; Serv Meteorol Nacl Argentina, Buenos Aires, DF, Argentina</t>
  </si>
  <si>
    <t>University of Innsbruck; Consejo Nacional de Investigaciones Cientificas y Tecnicas (CONICET); National University of Rosario; National University of Rosario</t>
  </si>
  <si>
    <t>Cede, A (corresponding author), Univ Innsbruck, Inst Med Phys, Mullerstr 44, A-6020 Innsbruck, Austria.</t>
  </si>
  <si>
    <t>cede@chescat.gsfc.nasa.gov; mario.blumthaler@uibk.ac.at; luccini@ifir.edu.ar; ruben@ifir.edu.ar; lnunez@meteofa.mil.ar</t>
  </si>
  <si>
    <t>0094-8276</t>
  </si>
  <si>
    <t>1944-8007</t>
  </si>
  <si>
    <t>GEOPHYS RES LETT</t>
  </si>
  <si>
    <t>Geophys. Res. Lett.</t>
  </si>
  <si>
    <t>DEC 28</t>
  </si>
  <si>
    <t>10.1029/2002GL015708</t>
  </si>
  <si>
    <t>649WT</t>
  </si>
  <si>
    <t>WOS:000181231500005</t>
  </si>
  <si>
    <t>Stenchikov, G; Robock, A; Ramaswamy, V; Schwarzkopf, MD; Hamilton, K; Ramachandran, S</t>
  </si>
  <si>
    <t>Arctic Oscillation response to the 1991 Mount Pinatubo eruption: Effects of volcanic aerosols and ozone depletion</t>
  </si>
  <si>
    <t>aerosol; ozone; climate; Pinatubo; Arctic Oscillation</t>
  </si>
  <si>
    <t>QUASI-BIENNIAL OSCILLATION; NORTHERN-HEMISPHERE; STRATOSPHERIC CIRCULATION; EL-CHICHON; INTERANNUAL VARIABILITY; TEMPERATURE-CHANGES; ANTARCTIC OZONE; GREENHOUSE-GAS; TROPICAL OZONE; ANNULAR MODES</t>
  </si>
  <si>
    <t>[1] Observations show that strong equatorial volcanic eruptions have been followed by a pronounced positive phase of the Arctic Oscillation (AO) for one or two Northern Hemisphere winters. It has been previously assumed that this effect is forced by strengthening of the equator-to-pole temperature gradient in the lower stratosphere, caused by aerosol radiative heating in the tropics. To understand atmospheric processes that cause the AO response, we studied the impact of the 1991 Mount Pinatubo eruption, which produced the largest global volcanic aerosol cloud in the twentieth century. A series of control and perturbation experiments were conducted with the GFDL SKYHI general circulation model to examine the evolution of the circulation in the 2 years following the Pinatubo eruption. In one set of perturbation experiments, the full radiative effects of the observed Pinatubo aerosol cloud were included, while in another only the effects of the aerosols in reducing the solar flux in the troposphere were included, and the aerosol heating effects in the stratosphere were suppressed. A third set of perturbation experiments imposed the stratospheric ozone losses observed in the post-Pinatubo period. We conducted ensembles of four to eight realizations for each case. Forced by aerosols, SKYHI produces a statistically significant positive phase of the AO in winter, as observed. Ozone depletion causes a positive phase of the AO in late winter and early spring by cooling the lower stratosphere in high latitudes, strengthening the polar night jet, and delaying the final warming. A positive phase of the AO was also produced in the experiment with only the tropospheric effect of aerosols, showing that aerosol heating in the lower tropical stratosphere is not necessary to force positive AO response, as was previously assumed. Aerosol-induced tropospheric cooling in the subtropics decreases the meridional temperature gradient in the winter troposphere between 30degreesN and 60degreesN. The corresponding reduction of mean zonal energy and amplitudes of planetary waves in the troposphere decreases wave activity flux into the lower stratosphere. The resulting strengthening of the polar vortex forces a positive phase of the AO. We suggest that this mechanism can also contribute to the observed long-term AO trend being caused by greenhouse gas increases because they also weaken the tropospheric meridional temperature gradient due to polar amplification of warming.</t>
  </si>
  <si>
    <t>Rutgers State Univ, Dept Environm Sci, New Brunswick, NJ 08901 USA; Princeton Univ, NOAA, Geophys Fluid Dynam Lab, Princeton, NJ 08542 USA; Univ Hawaii, Int Pacific Res Ctr, Honolulu, HI 96822 USA; Phys Res Lab, Planetary Atmospher Sci Div, Ahmadabad 380009, Gujarat, India</t>
  </si>
  <si>
    <t>Rutgers University System; Rutgers University New Brunswick; Princeton University; National Oceanic Atmospheric Admin (NOAA) - USA; University of Hawaii System; Department of Space (DoS), Government of India; Physical Research Laboratory - India</t>
  </si>
  <si>
    <t>Rutgers State Univ, Dept Environm Sci, 14 Coll Farm Rd, New Brunswick, NJ 08901 USA.</t>
  </si>
  <si>
    <t>gera@envsci.rutgers.edu; robock@enusci.rutgers.edu; vr@gfdl.gov; ds@gfdl.noaa.gov; kph@soest.hawaii.edu; ram@prl.ernet.in</t>
  </si>
  <si>
    <t>Ramachandran, Siddharth/AAC-4306-2020; Robock, Alan/B-6385-2016; Georgiy, Stenchikov/J-8569-2013; Ramaswamy, Venkatachalam/AAJ-6265-2021; Stenchikov, Georgiy/AAA-4371-2022</t>
  </si>
  <si>
    <t>Ramaswamy, Venkatachalam/0000-0002-1984-6423; Hamilton, Kevin/0000-0002-3560-8097; Robock, Alan/0000-0002-6319-5656; Ramachandran, S./0000-0003-4921-7887; Stenchikov, Georgiy Lvovich/0000-0001-9033-4925</t>
  </si>
  <si>
    <t>2169-8996</t>
  </si>
  <si>
    <t>10.1029/2002JD002090</t>
  </si>
  <si>
    <t>650JF</t>
  </si>
  <si>
    <t>WOS:000181259400007</t>
  </si>
  <si>
    <t>Kelly, DC</t>
  </si>
  <si>
    <t>Response of Antarctic (ODP Site 690) planktonic foraminifera to the Paleocene-Eocene thermal maximum: Faunal evidence for ocean/climate change</t>
  </si>
  <si>
    <t>PALEOCEANOGRAPHY</t>
  </si>
  <si>
    <t>Paleocene-Eocene thermal maximum; planktonic foraminifera; Southern Ocean; global warming; carbonate sedimentation</t>
  </si>
  <si>
    <t>CIRCUM-CARIBBEAN VOLCANISM; HIGH-RESOLUTION RECORDS; EVOLUTIONARY CONSEQUENCES; ISOTOPE EXCURSION; STABLE-ISOTOPES; METHANE HYDRATE; BIGHORN BASIN; CAUSAL LINK; PALEOGENE; BOUNDARY</t>
  </si>
  <si>
    <t>High-resolution study of Antarctic planktonic foraminiferal assemblages (Ocean Drilling Program Site 690, Weddell Sea) shows that these microplankton underwent a stepwise series of changes during the Paleocene-Eocene thermal maximum (PETM). Initiation of this response coincides with the onset of the carbon isotope excursion (CIE) but precedes the benthic foraminiferal mass extinction. The top-to-bottom'' succession in the biotic response indicates that the surface ocean/atmosphere was affected before the deep sea. The earliest stage of the faunal response entailed a conspicuous turnover within the shallow-dwelling genus Acarinina and a succession of stratigraphic first appearances. The genus Morozovella, large (&gt;180 mum) biserial planktonics, and A. wilcoxensis are all restricted to the lower CIE within this PETM section. Acarininid populations crashed as the ocean/climate system ameliorated during the CIE recovery, reflecting atypical surface water conditions. This transient decline in acarininids is paralleled by a marked increase in carbonate content of sediments. It is postulated that this interval of carbonate enrichment, and its unusual microfauna, reflects enhanced carbon storage within reservoirs of the global carbon cycle other than the marine carbonate system [sensu Broecker et al., 1993; Ravizza et al., 2001].</t>
  </si>
  <si>
    <t>Univ Wisconsin, Dept Geol &amp; Geophys, Madison, WI 53706 USA</t>
  </si>
  <si>
    <t>Univ Wisconsin, Dept Geol &amp; Geophys, 1215 W Dayton St, Madison, WI 53706 USA.</t>
  </si>
  <si>
    <t>ckelly@geology.wisc.edu</t>
  </si>
  <si>
    <t>Kelly, Clay/0000-0002-3241-1635</t>
  </si>
  <si>
    <t>0883-8305</t>
  </si>
  <si>
    <t>1944-9186</t>
  </si>
  <si>
    <t>Paleoceanography</t>
  </si>
  <si>
    <t>10.1029/2002PA000761</t>
  </si>
  <si>
    <t>Geosciences, Multidisciplinary; Oceanography; Paleontology</t>
  </si>
  <si>
    <t>Geology; Oceanography; Paleontology</t>
  </si>
  <si>
    <t>649NJ</t>
  </si>
  <si>
    <t>WOS:000181214600001</t>
  </si>
  <si>
    <t>Valladares, CE; Moen, J; Sandholt, PE; Denig, WF; Troshichev, O</t>
  </si>
  <si>
    <t>Simultaneous observations of dayside aurora from Heiss Island and Ny Alesund</t>
  </si>
  <si>
    <t>INTERPLANETARY MAGNETIC-FIELD; MAGNETOPAUSE RECONNECTION; NORTHWARD IMF; CUSP AURORA; CONVECTION; SIGNATURES; RESPONSES; FORMS</t>
  </si>
  <si>
    <t>[1] This paper presents the first simultaneous observation of the cusp aurora using two overlapping imagers displaced in longitude by several hundreds of km. The imagers were located at Ny Alesund, Norway and Heiss Island, Russia. The uniqueness of the case study presented here consists of the rapid response of the entire extension of the cusp-related aurora to an unsettled IMF. At the start of the event, the IMF B-z component was equal to -5 nT. It was followed by a 10-min period of positive B-z excursions (similar to+2nT), before returning to a 3 nT value. Initially, when Bz was negative, the cusp aurora was located at 73degrees MLAT, displayed a B-z south-type ion dispersion signature, and antisunward convection. When the IMF B-z became positive, but under a dominant B-x (-6 nT), the cusp aurora rapidly retreated poleward, and a long single band was seen extending for over 2000 km brightening from east to west. A few minutes later, still during a period of clock angle less than 120degrees, two bands of red emission, separated in longitude by similar to1000 km, split from the main auroral trace and move equatorward. The data presented here suggest that during a short period of dominant B-x &lt; 0 and a solar wind phase front tilted toward the northern hemisphere the whole cusp-related aurora responded rapidly to the new solar wind configuration.</t>
  </si>
  <si>
    <t>Boston Coll, Inst Sci Res, Newton Ctr, MA USA; Univ Oslo, Dept Phys, N-0316 Oslo, Norway; Arctic &amp; Antarctic Res Inst, St Petersburg 199226, Russia; Univ Courses Svalbard, Longyearbyen, Norway; AF Res Lab, Space Vehicles Directorate, Hanscom AFB, MA 01731 USA</t>
  </si>
  <si>
    <t>Boston College; University of Oslo; Arctic &amp; Antarctic Research Institute; United States Department of Defense; United States Air Force</t>
  </si>
  <si>
    <t>Valladares, CE (corresponding author), Boston Coll, Inst Sci Res, 140 Commonwealth Av, Chestnut Hill, MA 02647 USA.</t>
  </si>
  <si>
    <t>DEC 27</t>
  </si>
  <si>
    <t>10.1029/2002GL016001</t>
  </si>
  <si>
    <t>649WR</t>
  </si>
  <si>
    <t>WOS:000181231400013</t>
  </si>
  <si>
    <t>Kadokura, A; Yukimatu, AS; Ejiri, M; Oguti, T; Pinnock, M; Hairston, MR</t>
  </si>
  <si>
    <t>Detailed analysis of a substorm event on 6 and 7 June 1989 - 1. Growth phase evolution of nightside auroral activities and ionospheric convection toward expansion phase onset</t>
  </si>
  <si>
    <t>JOURNAL OF GEOPHYSICAL RESEARCH-SPACE PHYSICS</t>
  </si>
  <si>
    <t>EXOS-D SATELLITE; MAGNETIC-FIELD VARIATIONS; NEAR-EARTH MAGNETOTAIL; GEOTAIL OBSERVATIONS; CURRENT SHEET; PLASMA SHEET; MAGNETOSPHERIC SUBSTORMS; CURRENT DISRUPTION; SYNCHRONOUS ORBIT; ALIGNED CURRENTS</t>
  </si>
  <si>
    <t>[1] We have analyzed in detail the evolution of nightside auroral activities and ionospheric convection during the growth phase of an isolated substorm. The following three characteristic auroral activities were identified by meridian scanning photometers (MSP) at ground stations: (1) proton main oval, (2) fast equatorward moving (FEM) arc, and (3) near plasma sheet boundary layer (NPSBL) aurora. The proton main oval corresponds to the main part of the proton auroral region and was located at the equatorward-most region of the electron auroral emissions and gradually moved equatorward during the growth phase. The FEM arc was a discrete auroral arc having a clear longitudinally elongated form. It appeared about 20 min before the onset on the high-latitude side of the auroral region and moved equatorward toward the proton main oval. Its equatorward motion gradually slowed as it approached the proton main oval. As the FEM arc moved equatorward, the location of the peak velocity in the nightside return flow of the two-cell convection also moved equatorward. The auroral breakup occurred in a localized area around the demarcation region between the two return flows, close to the latitude of the FEM arc. This was observed by the UV imager aboard the Akebono satellite. The NPSBL aurora appeared a few minutes before the onset around the poleward-most region of the aurora and continued even after the onset. Our detailed analysis of these phenomena can give us important clues as to how the growth phase proceeds toward the expansion phase onset.</t>
  </si>
  <si>
    <t>Natl Inst Polar Res, Itabashi Ku, Tokyo 1738515, Japan; British Antarctic Survey, NERC, Cambridge CB3 0ET, England; Univ Tokyo, Nerima Ku, Tokyo 1770041, Japan; Univ Texas, William B Hanson Ctr Space Sci, Richardson, TX 75083 USA</t>
  </si>
  <si>
    <t>Research Organization of Information &amp; Systems (ROIS); National Institute of Polar Research (NIPR) - Japan; UK Research &amp; Innovation (UKRI); Natural Environment Research Council (NERC); NERC British Antarctic Survey; University of Tokyo; University of Texas System; University of Texas Dallas</t>
  </si>
  <si>
    <t>Kadokura, A (corresponding author), Natl Inst Polar Res, Itabashi Ku, Kaga 1-9-10, Tokyo 1738515, Japan.</t>
  </si>
  <si>
    <t>kadokura@nir.ac.jp; sessai@uap.nipr.ac.jp; ejiri@nipr.ac.jp; mpi@pcmail.nerc-bas.ac.uk; hairston@utdalla.sed</t>
  </si>
  <si>
    <t>Hairston, Marc/0000-0003-4524-4837</t>
  </si>
  <si>
    <t>2169-9380</t>
  </si>
  <si>
    <t>2169-9402</t>
  </si>
  <si>
    <t>J GEOPHYS RES-SPACE</t>
  </si>
  <si>
    <t>J. Geophys. Res-Space Phys.</t>
  </si>
  <si>
    <t>A12</t>
  </si>
  <si>
    <t>10.1029/2001JA009127</t>
  </si>
  <si>
    <t>650BP</t>
  </si>
  <si>
    <t>WOS:000181242700001</t>
  </si>
  <si>
    <t>Kadokura, A; Yukimatu, AS; Ejiri, M; Oguti, T; Pinnock, M; Sutcliffe, PR</t>
  </si>
  <si>
    <t>Detailed analysis of a substorm event on 6 and 7 June 1989: 2. Stepwise auroral bulge evolution during expansion phase</t>
  </si>
  <si>
    <t>MAGNETIC-FIELD VARIATIONS; TAIL CURRENT DISRUPTION; NEAR-EARTH MAGNETOTAIL; GEOTAIL OBSERVATIONS; SYNCHRONOUS ORBIT; PI-2 PULSATIONS; MAGNETOSPHERIC SUBSTORMS; ENERGETIC PARTICLES; PLASMA SHEET; FLOW BURSTS</t>
  </si>
  <si>
    <t>[1] We have analyzed in detail the auroral bulge evolution during the expansion phase of an isolated substorm, which was observed by the UV imager aboard the Akebono satellite. It was found that there were three distinct stages in the evolution. Stage 1 was characterized by rapid poleward and azimuthal ( predominantly westward) expansions in a short time (about 2 min). Stage 2 was characterized by a very slow poleward and slower and continuous azimuthal expansions. There was a certain period for transition between stage 1 and stage 2, and it was characterized by a very slow poleward and rapid eastward expansions. Stage 3 started about 11 min after the onset and was characterized by a sudden reactivation of the rapid poleward and azimuthal expansions. The reactivation started around the initial onset meridian and then spread both eastward and westward. At the azimuthal front, the expansion first occurred at the lowest latitudes, spread poleward to around the highest latitudes of stage 1, and then spread further poleward after a brief interval. Hence, the local expansion also had three distinct stages similar to the global one. The ground-based observations showed that the highest latitude of the local first stage was very close to the latitude of auroral activity that appeared near the ionospheric plasma sheet boundary layer (PSBL) region a few minutes before the onset. The further poleward expansion during the local third stage started with a significant intensification of the poleward-most auroral activity. During the local third stage, the bright electron auroral region was bifurcated into a poleward expanding part and an equatorward moving part. The proton auroral emission coexisted in the bulge during the local first and second stages and almost disappeared soon after the bifurcation during the local third stage. Based on these observations, we discuss the evolution in the magnetosphere during the expansion phase.</t>
  </si>
  <si>
    <t>Natl Inst Polar Res, Itabashi Ku, Tokyo 1738515, Japan; Univ Tokyo, Nerima Ku, Tokyo 1770041, Japan; British Antarctic Survey, NERC, Cambridge CB3 0ET, England; Hermanus Magnet Observ, ZA-7200 Hermanus, South Africa</t>
  </si>
  <si>
    <t>Research Organization of Information &amp; Systems (ROIS); National Institute of Polar Research (NIPR) - Japan; University of Tokyo; UK Research &amp; Innovation (UKRI); Natural Environment Research Council (NERC); NERC British Antarctic Survey; Council for Scientific &amp; Industrial Research (CSIR) - South Africa</t>
  </si>
  <si>
    <t>kadokura@nipr.ac.jp; sessai@uap.nipr.ac.jp; ejiri@nipr.ac.jp; mpi@pcmail.nerc-bas.ac.uk; psutclif@csir.co.za</t>
  </si>
  <si>
    <t>Sutcliffe, Peter R/E-8124-2014</t>
  </si>
  <si>
    <t>10.1029/2001JA009129</t>
  </si>
  <si>
    <t>WOS:000181242700002</t>
  </si>
  <si>
    <t>Schwarzkopf, MD; Ramaswamy, V</t>
  </si>
  <si>
    <t>Effects of changes in well-mixed gases and ozone on stratospheric seasonal temperatures</t>
  </si>
  <si>
    <t>TRENDS</t>
  </si>
  <si>
    <t>[1] Monthly and seasonal stratospheric zonal-mean temperature trends arising from recent changes in stratospheric ozone and well-mixed greenhouse gases (WMGGs) are simulated using a general circulation model and compared with observed (1979-2000) trends. The combined effect of these gases yields statistically significant cooling trends over the entire globally averaged stratosphere in all months. In the Arctic (60degreesN-90degreesN), statistically significant trends occur only in summer and extend through the entire stratosphere. In the Antarctic (90degreesS-65degreesS), the simulations reproduce the observed seasonal pattern of the lower stratosphere temperature trend. Seasonal trends at 50 hPa are consistent with observed trends at all latitudes, considering model dynamical variability and observational uncertainty. The lack of robustness in simulated and observed Arctic winter trends indicates the futility of attributing these trends to trace gas concentration changes. Such attribution arguments may be made with greater confidence regarding middle and high latitude Northern Hemisphere summer temperature trends.</t>
  </si>
  <si>
    <t>Princeton Univ, NOAA, Geophys Fluid Dynam Lab, Princeton, NJ 08542 USA</t>
  </si>
  <si>
    <t>Princeton University; National Oceanic Atmospheric Admin (NOAA) - USA</t>
  </si>
  <si>
    <t>Schwarzkopf, MD (corresponding author), Princeton Univ, NOAA, Geophys Fluid Dynam Lab, Princeton, NJ 08542 USA.</t>
  </si>
  <si>
    <t>DEC 24</t>
  </si>
  <si>
    <t>10.1029/2002GL015759</t>
  </si>
  <si>
    <t>649WD</t>
  </si>
  <si>
    <t>WOS:000181230200004</t>
  </si>
  <si>
    <t>Davies, S; Chipperfield, MP; Carslaw, KS; Sinnhuber, BM; Anderson, JG; Stimpfle, RM; Wilmouth, DM; Fahey, DW; Popp, PJ; Richard, EC; von der Gathen, P; Jost, H; Webster, CR</t>
  </si>
  <si>
    <t>Modeling the effect of denitrification on Arctic ozone depletion during winter 1999/2000</t>
  </si>
  <si>
    <t>Arctic; stratosphere; denitrification; modeling; ozone; SOLVE/THESEO 2000</t>
  </si>
  <si>
    <t>POLAR STRATOSPHERIC CLOUDS; NASA ER-2 AIRCRAFT; SULFURIC-ACID; INTERHEMISPHERIC DIFFERENCES; ANTARCTIC OZONE; NITRIC-ACID; VORTEX; HNO3; RECOVERY; SYSTEM</t>
  </si>
  <si>
    <t>We have used the SLIMCAT three-dimensional chemical transport model together with observations from the Stratospheric Aerosol and Gas Experiment (SAGE III) Ozone Loss and Validation Experiment (SOLVE) and the Third European Stratospheric Experiment on Ozone (THESEO 2000) to quantify the effect of denitrification on Arctic ozone loss. We have used two different denitrification schemes in the model: one based on the sedimentation of ice particles containing cocondensed nitric acid trihydrate (NAT) and the other based on large NAT particles. The model was forced using both UK Meteorological Office (UKMO) and European Centre for Medium-Range Weather Forecasts (ECMWF) analyses. In the Arctic lower stratosphere the UKMO analyzed temperatures are similar to the ECMWF, except at temperatures near the ice point where the UKMO analyses are colder by over 2 K. Consequently, the UKMO analyses predicted large regions of ice clouds, in contrast to the ECMWF. The denitrification scheme based on large NAT particles gives the best agreement with ER-2 NOy observations for both sets of meteorological analyses. Although the ice scheme and UKMO analyses also produce denitrification, the vertical extent of denitrification and renitrification does not agree as well with the observed NOy. Uncertainties in the budget of ClOy observations from the ER-2 prevent an indirect validation of the best model denitrification scheme based on these data. The denitrified model runs give the best agreement with the observed HCl and ClONO2 reservoirs in mid March. However, UKMO-forced runs generally overestimate the observed ClOx during the same period. The denitrified model runs indicate that by late March 56-74% O-3 loss had occurred at 460 K and that denitrification contributed 21-30% of this loss. The model runs showing the largest O-3 depletion (forced by UKMO analyses) agree well with ER-2 and ozone sonde data, although these runs overestimated ClOx.</t>
  </si>
  <si>
    <t>Univ Leeds, Sch Environm, Leeds LS2 9JT, W Yorkshire, England; Harvard Univ, Dept Chem, Cambridge, MA 02138 USA; NOAA, Aeron Lab, Boulder, CO 80303 USA; AWI Polar &amp; Marine Res, D-14401 Potsdam, Germany; NASA, Ames Res Ctr, Moffett Field, CA 94035 USA; NASA, Jet Prop Lab, Pasadena, CA 91109 USA</t>
  </si>
  <si>
    <t>University of Leeds; Harvard University; National Oceanic Atmospheric Admin (NOAA) - USA; Helmholtz Association; Alfred Wegener Institute, Helmholtz Centre for Polar &amp; Marine Research; National Aeronautics &amp; Space Administration (NASA); NASA Ames Research Center; National Aeronautics &amp; Space Administration (NASA); NASA Jet Propulsion Laboratory (JPL)</t>
  </si>
  <si>
    <t>Univ Leeds, Sch Environm, Woodhouse Lane, Leeds LS2 9JT, W Yorkshire, England.</t>
  </si>
  <si>
    <t>stewart@env.leeds.ac.uk; martyn@env.leeds.ac.uk; carslaw@env.leeds.ac.uk; bms@env.leeds.ac.uk; anderson@huarp.harvard.edu; stimpfle@huarp.harvard.edu; wilmouth@huarp.harvard.edu; fahey@al.noaa.gov; ppopp@al.noaa.gov; richard@al.noaa.gov; gathen@awi-potsdam.de; hjost@mail.arc.nasa.gov; Chris.R.Webster@jpl.nasa.gov</t>
  </si>
  <si>
    <t>von der Gathen, Peter/B-8515-2009; Chipperfield, Martyn/H-6359-2013; Webster, Chris/M-9315-2019; Carslaw, Ken S/C-8514-2009; Fahey, David/G-4499-2013; Sinnhuber, Bjorn-Martin/A-7007-2013</t>
  </si>
  <si>
    <t>von der Gathen, Peter/0000-0001-7409-1556; Chipperfield, Martyn/0000-0002-6803-4149; Carslaw, Ken S/0000-0002-6800-154X; Fahey, David/0000-0003-1720-0634; Sinnhuber, Bjorn-Martin/0000-0001-9608-7320</t>
  </si>
  <si>
    <t>D5</t>
  </si>
  <si>
    <t>10.1029/2001JD000445</t>
  </si>
  <si>
    <t>650JN</t>
  </si>
  <si>
    <t>WOS:000181260200001</t>
  </si>
  <si>
    <t>Connolley, WM</t>
  </si>
  <si>
    <t>Long-term variation of the Antarctic Circumpolar Wave</t>
  </si>
  <si>
    <t>Antarctic Circumpolar Wave (ACW); Antarctic; climate variability; general circulation model (GCM)</t>
  </si>
  <si>
    <t>SEA-ICE; VARIABILITY; PREDICTABILITY; MODEL; OCEAN; CIRCULATION; TEMPERATURE; PRESSURE; CLIMATE; GCM</t>
  </si>
  <si>
    <t>[1] During the period 1968-1999, the character of circum-Antarctic anomalies in sea level pressure, sea ice edge, and sea surface temperature changed substantially. An Antarctic Circumpolar Wave (ACW) is only clearly visible in the period 1985-1994. Before, and perhaps after this, the signal, particularly in sea level pressure, is quite different with no clear sign of precession. Accompanying the change from precessional to nonprecessional modes is a change in the spatial pattern of variability and a change in the predictability of atmospheric anomalies from oceanic forcing. Evidence from general circulation model integration suggests that during the precessional mode of the ACW, there is enhanced predictability, as would be required to support a coupled ocean-atmosphere interaction.</t>
  </si>
  <si>
    <t>wmc@bas.ac.uk</t>
  </si>
  <si>
    <t>C4</t>
  </si>
  <si>
    <t>10.1029/2000JC000380</t>
  </si>
  <si>
    <t>649XG</t>
  </si>
  <si>
    <t>WOS:000181232800002</t>
  </si>
  <si>
    <t>Trathan, PN; Murphy, EJ</t>
  </si>
  <si>
    <t>Sea surface temperature anomalies near South Georgia: Relationships with the pacific El Nino regions</t>
  </si>
  <si>
    <t>South Georgia; sea surface temperature; anomalies; Antarctic circumpolar wave; seasonality; teleconnections; variability</t>
  </si>
  <si>
    <t>ANTARCTIC CIRCUMPOLAR WAVE; ICE; VARIABILITY; KRILL; TELECONNECTIONS; OSCILLATION; RECORD</t>
  </si>
  <si>
    <t>[1] The data set of Reynolds and Smith [1994] is used to describe temporal variability in sea surface temperature (SST) at South Georgia. Time series analysis indicates that high levels of autocorrelation are present, with periodicity evident in temperature anomalies at lag periods of approximately 4 years. Cross-correlation analyses with data describing the El Nino regions of the Pacific indicate that variability at South Georgia reflects temperature fluctuations in the Pacific. This relationship is temporally separated, with the Pacific leading South Georgia by approximately 3 years and with the west Pacific showing the strongest cross correlation. Historic data describing the west Pacific show that patterns of variability have evolved through time and that the strong 4 year periodicity evident in recent years was not present in earlier records. The correlation between the west Pacific and South Georgia has also varied through time and the relationship is currently weaker than it has been over the past 19 years. The results are discussed in the context of a circumpolar precession of anomalies, transferring variability from the Pacific into the Atlantic.</t>
  </si>
  <si>
    <t>British Antarctic Survey, Div Biol Sci, Cambridge CB3 0ET, England</t>
  </si>
  <si>
    <t>British Antarctic Survey, Div Biol Sci, High Cross,Madingley Rd, Cambridge CB3 0ET, England.</t>
  </si>
  <si>
    <t>p.trathan@bas.ac.uk</t>
  </si>
  <si>
    <t>murphy, eugene/GZL-1620-2022</t>
  </si>
  <si>
    <t>10.1029/2000JC000299</t>
  </si>
  <si>
    <t>WOS:000181232800001</t>
  </si>
  <si>
    <t>Abel, GA; Freeman, MP</t>
  </si>
  <si>
    <t>A statistical analysis of ionospheric velocity and magnetic field power spectra at the time of pulsed ionospheric flows</t>
  </si>
  <si>
    <t>convection; reconnection; power spectrum</t>
  </si>
  <si>
    <t>SOLAR-WIND; MAGNETOSPHERE; MAGNETOPAUSE; TURBULENCE; SUPERDARN; AE</t>
  </si>
  <si>
    <t>[1] We analyze the power spectrum of the line-of-sight ionospheric velocity measured by the SuperDARN CUTLASS Finland radar and of contemporaneous magnetic field perturbations measured by nearby IMAGE magnetometers. The measurements come from 69-87degrees AACGM latitude and 0415-2230 MLT during 58 intervals of pulsed ionospheric flow between March 1995 and September 1996. The median power spectrum of both the velocity and magnetic field is of power law form with a best fit exponent of -0.5 and -1.3, respectively. By simulating the effect of the finite sample window on the measured spectral exponent and on the structure seen in the power spectral density of individual spectra, we show that the measured spectral exponent actually corresponds to a true exponent of -0.95 for the velocity and -1.8 for the magnetic field. Furthermore, it is shown that the difference in the exponents of the velocity and magnetic field spectra is at least in part due to a spatial smoothing effect that causes the spectral exponent of the ground magnetic spectrum to be less than that of the ionospheric current spectrum producing it. The power law power spectrum implies that there is no preferred timescale for ionospheric velocity and current fluctuations in the observed frequency range. It is proposed that this scale-free nature may arise from the intermittent, turbulent nature of the interplanetary magnetic field causing magnetic reconnection to occur at the magnetopause on a wide range of spatial and temporal scales.</t>
  </si>
  <si>
    <t>gaab@bas.ac.uk; mpf@bas.ac.uk</t>
  </si>
  <si>
    <t>Abel, Gary/ABE-1765-2021; Freeman, Mervyn/E-5687-2019</t>
  </si>
  <si>
    <t>Abel, Gary/0000-0003-2231-5161; Freeman, Mervyn/0000-0002-8653-8279</t>
  </si>
  <si>
    <t>10.1029/2002JA009402</t>
  </si>
  <si>
    <t>650BF</t>
  </si>
  <si>
    <t>WOS:000181241900008</t>
  </si>
  <si>
    <t>Bi, DH; Budd, WF; Hirst, AC; Wu, XR</t>
  </si>
  <si>
    <t>Response of the antarctic circumpolar current transport to global warming in a coupled model</t>
  </si>
  <si>
    <t>DRAKE PASSAGE; OCEAN; DRIVEN</t>
  </si>
  <si>
    <t>[1] The transient and long-term adjustment process of the Antarctic Circumpolar Current (ACC) in response to global warming in the CSIRO climate model is examined in an integration, which is run under increasing atmospheric CO2 following the IPCC/IS92a scenario to stabilisation at triple the initial CO2 concentration (3 x CO2). The ACC transport through Drake Passage shows an evident strengthening along with the CO2 increase and, in the subsequent period with stabilised 3 x CO2, it keeps increasing steadily after CO2 tripling for a few centuries until a maximum (151 Sv, 17% larger than the initial state) is reached. The strengthening of the ACC transport results from the warming-induced enhancement of the meridional density gradient in the ocean interior across the ACC: it leads to a speedup of the upper layer zonal flow which outweighs the deceleration in the underlying layer caused by the weakening of the deep overturning off Antarctica.</t>
  </si>
  <si>
    <t>Univ Tasmania, Antarctic CRC, Hobart, Tas 7001, Australia; Univ Tasmania, Inst Antarctic &amp; So Ocean Studies, Hobart, Tas 7001, Australia; CSIRO Atmospher Res, Aspendale, Vic 3195, Australia; Australian Antarctic Div, Kingston, Tas, Australia</t>
  </si>
  <si>
    <t>University of Tasmania; University of Tasmania; Commonwealth Scientific &amp; Industrial Research Organisation (CSIRO); Australian Antarctic Division</t>
  </si>
  <si>
    <t>Univ Miami, Rosenstiel Sch Marine &amp; Atmospher Sci, MPO, 4600 Rickenbacker Causeway, Miami, FL 33149 USA.</t>
  </si>
  <si>
    <t>dbi@rsmas.miami.edu; w.f.budd@utas.edu.au; tony.hirst@dar.csiro.au; x.wu@utas.edu.au</t>
  </si>
  <si>
    <t>Hirst, Anthony/N-1041-2014; Hirst, Anthony/E-2756-2013; Bi, Daohua/O-4508-2015</t>
  </si>
  <si>
    <t>DEC 21</t>
  </si>
  <si>
    <t>10.1029/2002GL015919</t>
  </si>
  <si>
    <t>649GB</t>
  </si>
  <si>
    <t>WOS:000181197900002</t>
  </si>
  <si>
    <t>Summers, D; Ma, C; Meredith, NP; Horne, RB; Thorne, RM; Heynderickx, D; Anderson, RR</t>
  </si>
  <si>
    <t>Model of the energization of outer-zone electrons by whistler-mode chorus during the October 9, 1990 geomagnetic storm</t>
  </si>
  <si>
    <t>MAGNETIC STORM; STOCHASTIC ACCELERATION; RELATIVISTIC ENERGIES; INNER MAGNETOSPHERE; WAVES; DIFFUSION</t>
  </si>
  <si>
    <t>[1] Relativistic (&gt; 1 MeV) 'killer electrons' are frequently generated in the Earth's inner magnetosphere during the recovery phase of a typical magnetic storm. We test the hypothesis that the energization of electrons takes place by means of stochastic gyroresonant interaction between lower-energy (several 100 keV) seed electrons and whistler-mode chorus waves. We develop a model kinetic equation for the electron energy distribution, and utilize both electron and whistler-mode wave data at L=4 for a typical geomagnetic storm (on October 9, 1990) from instruments carried on the Combined Release and Radiation Effects Satellite (CRRES). Our model solutions are found to match well with the CRRES profiles of the electron flux. We conclude that the mechanism of stochastic acceleration by whistler-mode turbulence is a viable candidate for generating killer electrons, not only for the storm considered, but for similar storms with a several-day recovery phase containing prolonged substorm activity.</t>
  </si>
  <si>
    <t>Mem Univ Newfoundland, Dept Math &amp; Stat, St John, NF A1C 5S7, Canada; Univ Calgary, Dept Comp Sci, Calgary, AB T2N 1N4, Canada; UCL, Mullard Space Sci Lab, Surrey, England; British Antarctic Survey, NERC, Cambridge CB3 0ET, England; Univ Calif Los Angeles, Dept Atmospher Sci, Los Angeles, CA 90024 USA; Belgian Inst Space Aeron, Brussels, Belgium; Univ Iowa, Dept Phys &amp; Astron, Iowa City, IA 52242 USA</t>
  </si>
  <si>
    <t>Memorial University Newfoundland; University of Calgary; University of London; University College London; UK Research &amp; Innovation (UKRI); Natural Environment Research Council (NERC); NERC British Antarctic Survey; University of California System; University of California Los Angeles; University of Iowa</t>
  </si>
  <si>
    <t>Summers, D (corresponding author), Mem Univ Newfoundland, Dept Math &amp; Stat, St John, NF A1C 5S7, Canada.</t>
  </si>
  <si>
    <t>dsummers@math.mun.ca</t>
  </si>
  <si>
    <t>Meredith, Nigel P/C-5806-2018; Heynderickx, Daniel/JBS-0816-2023; Horne, Richard B/U-3764-2019</t>
  </si>
  <si>
    <t>Heynderickx, Daniel/0000-0001-7136-9014; Horne, Richard B/0000-0002-0412-6407; Meredith, Nigel/0000-0001-5032-3463</t>
  </si>
  <si>
    <t>10.1029/2002GL016039</t>
  </si>
  <si>
    <t>WOS:000181197900004</t>
  </si>
  <si>
    <t>Wu, DL; Jiang, JH</t>
  </si>
  <si>
    <t>MLS observations of atmospheric gravity waves over Antarctica</t>
  </si>
  <si>
    <t>Gravity waves; Antarctica; polar stratospheric cloud; circulation; ozone depletion</t>
  </si>
  <si>
    <t>POLAR STRATOSPHERIC CLOUDS; OZONE DEPLETION; MOUNTAIN WAVES; HNO3</t>
  </si>
  <si>
    <t>Stratospheric gravity waves over Antarctica are studied with the radiance variances observed by Upper Atmosphere Research Satellite Microwave Limb Sounder (UARS MLS). Strong wave activities are found during August and September in 1992-1994 over the Drake Passage region (290degrees-315degrees longitude and 50degreesS-70degreesS latitude), where the enhancement seems associated with the topography of both South America and Antarctic Peninsula tips. During the same period, significant gravity wave activities are also evident along the Antarctic coastal region. The vertical growth of the wave variance shows a scale height of similar to14 km at low altitudes for both Drake Passage and the coastal regions but reduces substantially at high altitudes. The growth rate transition occurs at a lower altitude in the Drake Passage region where the variance is larger. The gravity wave activities observed near the Antarctic may contribute significantly to the formation of polar stratospheric clouds (PSC) because of the overlapping with the vortex edge and with the PSC activities as observed by CLAES (Cryogenic Limb Array Etalon Spectrometer).</t>
  </si>
  <si>
    <t>CALTECH, Jet Prop Lab, Pasadena, CA 91109 USA</t>
  </si>
  <si>
    <t>National Aeronautics &amp; Space Administration (NASA); NASA Jet Propulsion Laboratory (JPL); California Institute of Technology</t>
  </si>
  <si>
    <t>CALTECH, Jet Prop Lab, Mail Stop 183-701,4800 Oak Grove Dr, Pasadena, CA 91109 USA.</t>
  </si>
  <si>
    <t>jonathan@mls.jpl.nasa.gov</t>
  </si>
  <si>
    <t>10.1029/2002JD002390</t>
  </si>
  <si>
    <t>650GE</t>
  </si>
  <si>
    <t>WOS:000181254300006</t>
  </si>
  <si>
    <t>Sturrock, GA; Etheridge, DM; Trudinger, CM; Fraser, PJ; Smith, AM</t>
  </si>
  <si>
    <t>Atmospheric histories of halocarbons from analysis of Antarctic firn air: Major Montreal Protocol species</t>
  </si>
  <si>
    <t>Antarctic firn air; halocarbons; atmospheric histories</t>
  </si>
  <si>
    <t>POLAR FIRN; BACKGROUND OBSERVATIONS; GAS CONCENTRATIONS; EMISSIONS; TRENDS; ICE; ABUNDANCE; LIFETIME; ARCHIVE; RECORD</t>
  </si>
  <si>
    <t>[1] Air samples extracted from Antarctic firn at Law Dome have been analyzed for the suite of halocarbons that contribute most of the anthropogenic chlorine and about half the anthropogenic bromine presently released into the stratosphere. The species, all included in the Montreal Protocol, are the chlorofluorocarbons (CFCs -11, -12, -113, -114, -115), hydrochlorofluorocarbons (HCFCs -22, -141b, -142b), halons (H -1211, -1301), CH3CCl3 (methyl chloroform) and CCl4 (carbon tetrachloride). The measurements were used to reconstruct the atmospheric history of these species since the 1930s, providing a record considerably predating existing in situ records or other conventional air archives, encompassing virtually the entire history of anthropogenic emissions of CFCs, HCFCs, and halons and giving early 20(th) century levels for CH3CCl3 and CCl4. Significant features of this study are (1) the narrow age spread (spectral width 5 years) of the individual firn air samples, which reveals rapid atmospheric changes, (2) the use of inversion techniques to infer past atmospheric composition with associated uncertainties, and (3) the low analytical detection limit (&lt; 0.1 ppt), which, together with the narrow air age spread, detects early background levels and resolves the time that industrial emissions first appeared in the southern hemisphere atmosphere. Integrity of the data is demonstrated by successful intercomparison of data from independent firn sites on Law Dome with common time-series. An upper limit is given for the potential contribution to atmospheric levels of CH3CCl3 from nonindustrial sources. The atmospheric records produced from firn air are compared to calculations based on the history of their global emissions.</t>
  </si>
  <si>
    <t>CSIRO Atmospher Res, Aspendale, Vic 3195, Australia; Australian Nucl Sci &amp; Technol Org, Menai, NSW 2234, Australia</t>
  </si>
  <si>
    <t>Commonwealth Scientific &amp; Industrial Research Organisation (CSIRO); Australian Nuclear Science &amp; Technology Organisation</t>
  </si>
  <si>
    <t>Sturrock, GA (corresponding author), Univ E Anglia, Sch Environm Sci, Norwich NR4 7TJ, Norfolk, England.</t>
  </si>
  <si>
    <t>g.sturrock@uea.ac.uk; david.etheridge@csiro.au; cathy.trudinger@csiro.au; paul.fraser@csiro.au; ams@ansto.gov.au</t>
  </si>
  <si>
    <t>Trudinger, Cathy/A-2532-2008; , Andrew/HLX-8550-2023; Fraser, Paul J. B./D-1755-2012; Etheridge, David M/B-7334-2013</t>
  </si>
  <si>
    <t>Trudinger, Cathy/0000-0002-4844-2153; Etheridge, David/0000-0001-7970-2002; Smith, Andrew/0000-0002-9193-2617</t>
  </si>
  <si>
    <t>DEC 20</t>
  </si>
  <si>
    <t>10.1029/2002JD002548</t>
  </si>
  <si>
    <t>650GB</t>
  </si>
  <si>
    <t>WOS:000181253900006</t>
  </si>
  <si>
    <t>Gauld, ID; Wahl, DB</t>
  </si>
  <si>
    <t>The Eucerotinae: a Gondwanan origin for a cosmopolitan group of Ichneumonidae?</t>
  </si>
  <si>
    <t>JOURNAL OF NATURAL HISTORY</t>
  </si>
  <si>
    <t>Ichneumonidae; phylogeny; biogeography</t>
  </si>
  <si>
    <t>PHYLOGENETIC RECONSTRUCTION; HYMENOPTERA; CLASSIFICATION; LABENINAE; INSECTA</t>
  </si>
  <si>
    <t>A new genus and species of the formerly monobasic and predominantly amphitropical, ichneumonid subfamily, Eucerotinae, is described from Chile. A phylogenetic analysis of the redefined Eucerotinae is undertaken. Barronia araucaria gen. et sp. n. has a sister-group relationship with Euceros. The southern hemisphere species of the latter genus were found to comprise a monophyletic clade, the sister group to all other Euceros species. Similarly all north temperate Euceros species form a monophyletic clade, the sister group of which occurs in Madagascar. Within the former clade, the North American species form a monophyletic group, the sister species of which is Palaearctic. Several other groups of Palaearctic taxa have a sister-group relationship to this lineage. These results suggest the Eucerotinae had an ancient origin on Gondwanaland in the lower Cretaceous, prior to the separation of the Indo-Madagascar terrane from the Australian-Antarctic-South American tectonic plate. We hypothesize the Palaearctic fauna colonized Eurasia following the impaction of India on to its southern margin, and that the North American fauna is derived from a single circum-polar dispersal from Eurasia. Our results do not support an earlier hypothesis that the Eucerotinae arose as hyperparasitoids of Symphyta. Evidence suggests the group arose as parasitoids of ophioniform ichneumonids attacking lepidopterous larvae feeding on gymnosperms or anemophilous angiosperm, trees.</t>
  </si>
  <si>
    <t>Nat Hist Museum, Dept Entomol, London SW7 5BD, England; Amer Entomol Inst, Gainesville, FL 32608 USA</t>
  </si>
  <si>
    <t>Natural History Museum London</t>
  </si>
  <si>
    <t>Nat Hist Museum, Dept Entomol, Cromwell Rd, London SW7 5BD, England.</t>
  </si>
  <si>
    <t>idg@nhm.ac.uk</t>
  </si>
  <si>
    <t>0022-2933</t>
  </si>
  <si>
    <t>1464-5262</t>
  </si>
  <si>
    <t>J NAT HIST</t>
  </si>
  <si>
    <t>J. Nat. Hist.</t>
  </si>
  <si>
    <t>10.1080/00222930110096500</t>
  </si>
  <si>
    <t>Biodiversity Conservation; Ecology; Zoology</t>
  </si>
  <si>
    <t>Biodiversity &amp; Conservation; Environmental Sciences &amp; Ecology; Zoology</t>
  </si>
  <si>
    <t>618CT</t>
  </si>
  <si>
    <t>WOS:000179401100005</t>
  </si>
  <si>
    <t>Turner, J; Harangozo, SA; Marshall, GJ; King, JC; Colwell, SR</t>
  </si>
  <si>
    <t>Anomalous atmospheric circulation over the Weddell Sea, Antarctica during the Austral summer of 2001/02 resulting in extreme sea ice conditions</t>
  </si>
  <si>
    <t>PENINSULA; CLIMATE</t>
  </si>
  <si>
    <t>[1] During the Austral summer of 2001/02 exceptionally heavy sea ice conditions were experienced over the eastern Weddell Sea. Satellite microwave imagery showed that large negative (positive) ice anomalies were present from October 2001 to January 2002 over the north-western Weddell Sea (off the coast of Dronning Maud Land). These were a result of anomalously high (low) atmospheric pressure over the South Atlantic (southern Weddell Sea and Bellingshausen Sea), which gave strong north to northwesterly cyclonic flow over the northern and eastern Weddell Sea. This resulted in convergence of sea ice into the southern Weddell Sea and inhibited ice advection along the coast of Dronning Maud land. The atmospheric anomalies around the Weddell Sea were part of an Antarctic-wide amplification of the mean wavenumber 3 pattern resulting in more intrusions of mid-latitude air into the interior of the continent, giving rise to near-record warm temperatures at several locations.</t>
  </si>
  <si>
    <t>British Antarctic Survey, NERC, Cambridge, England</t>
  </si>
  <si>
    <t>Turner, J (corresponding author), British Antarctic Survey, NERC, Cambridge, England.</t>
  </si>
  <si>
    <t>Turner, John/0000-0002-6111-5122</t>
  </si>
  <si>
    <t>DEC 19</t>
  </si>
  <si>
    <t>10.1029/2002GL015565</t>
  </si>
  <si>
    <t>649FU</t>
  </si>
  <si>
    <t>WOS:000181197200002</t>
  </si>
  <si>
    <t>Reijmer, CH; Oerlemans, J</t>
  </si>
  <si>
    <t>Temporal and spatial variability of the surface energy balance in Dronning Maud Land, East Antarctica</t>
  </si>
  <si>
    <t>Antarctica; automatic weather stations; energy balance; Epica</t>
  </si>
  <si>
    <t>BLUE-ICE; MASS-BALANCE; ANNUAL CYCLE; SNOW; CLIMATE; MODEL; WIND; ACCUMULATION; TEMPERATURE; SIMULATION</t>
  </si>
  <si>
    <t>[1] We present data of nine Automatic Weather Stations (AWS), which are located in Dronning Maud Land (DML), East Antarctica, since the austral summer of 1997. Potential temperature and wind speed are maximum at the sites with the steepest surface slope, i.e., at the edge of the Antarctic plateau. Specific humidity and accumulation decrease with elevation and distance from the coast. The annual average energy gain at the surface from the downward sensible heat flux varies between similar to3 W m(-2) and similar to25 W m(-2), with the highest values at the sites with the largest surface inclination and wind speeds. The net radiative flux is negative and largely balances this sensible heat flux and ranges from similar to-2 W m(-2) to similar to-28 W m(-2); maximum values can be linked to maxima in surface slope and wind speed, and suggest a strong connection between the heat budget and the katabatic flow in DML. The average latent heat flux is generally small and negative (similar to-1 W m(-2)) indicating a slight net mass loss through sublimation.</t>
  </si>
  <si>
    <t>Univ Utrecht, Inst Marine &amp; Atmospher Res Utrecht, NL-3584 CC Utrecht, Netherlands</t>
  </si>
  <si>
    <t>Reijmer, CH (corresponding author), Univ Utrecht, Inst Marine &amp; Atmospher Res Utrecht, Princetonpl 5, NL-3584 CC Utrecht, Netherlands.</t>
  </si>
  <si>
    <t>c.h.reijmer@phys.uu.nl; j.oerlemans@phys.uu.nl</t>
  </si>
  <si>
    <t>Reijmer, Carleen H/G-8736-2011; Oerlemans, Johannes/G-3802-2011</t>
  </si>
  <si>
    <t>Reijmer, Carleen H/0000-0001-8299-3883;</t>
  </si>
  <si>
    <t>10.1029/2000JD000110</t>
  </si>
  <si>
    <t>650FZ</t>
  </si>
  <si>
    <t>WOS:000181253700001</t>
  </si>
  <si>
    <t>Nakano, H; Suginohara, N</t>
  </si>
  <si>
    <t>Importance of the eastern Indian Ocean for the abyssal Pacific</t>
  </si>
  <si>
    <t>Indian Ocean; Adelie; circumpolar deep water</t>
  </si>
  <si>
    <t>GENERAL-CIRCULATION MODELS; SCALE WATER MASSES; WORLD OCEAN; BOTTOM WATER; DEEP-WATER; ADVECTION SCHEMES; ADELIE LAND; SENSITIVITY; ANTARCTICA; TRANSPORTS</t>
  </si>
  <si>
    <t>The role of the eastern Indian Ocean in controlling the abyssal circulation in the Pacific is examined using a 1degrees x 1degrees world ocean model. Thanks to the improvement of bottom topography and the incorporation of a bottom boundary layer model, the bottom water formation off the Adelie Coast is produced. This bottom water is not only the source of the abyssal water in the eastern Indian but also has a great influence on the whole abyssal Pacific. The lower part of Circumpolar Deep Water (CDW), which enters the abyssal Pacific passing through south of New Zealand, changes its property through mixing with this bottom water flowing underneath CDW in the Australian-Antarctic Basin and the South Australia Basin. The tracer experiments show that the water ventilated off the Adelie Coast occupies about 20% of the abyssal Pacific, whereas North Atlantic Deep Water (NADW) occupies about 50%, the Weddell Sea bottom water about 20%, and the Ross Sea bottom water about 10%. The flux of the ventilated water estimated by the tracer experiments is 17.1 Sv for NADW, 6.3 Sv from the Weddell Sea, 6.2 Sv from off the Adelie Coast, and 3.5 Sv from Ross Sea in this model. The total flux of 33.1 Sv is not far from the estimate from observations, though it may overestimate by 1-4 Sv. This does not directly indicate that the real world ocean should have the large amount of the bottom water sources in the Pacific-Indian sector. However, the model offers a picture of the water properties consistent with the observation.</t>
  </si>
  <si>
    <t>Univ Tokyo, Ctr Climate Syst Res, Meguro Ku, Tokyo 1538904, Japan</t>
  </si>
  <si>
    <t>Univ Tokyo, Ctr Climate Syst Res, Meguro Ku, 4-6-1 Komaba, Tokyo 1538904, Japan.</t>
  </si>
  <si>
    <t>nakano@ccsr.u-tokyo.ac.jp; nobuo@jamstec.go.jp</t>
  </si>
  <si>
    <t>10.1029/2001JC001065</t>
  </si>
  <si>
    <t>649WV</t>
  </si>
  <si>
    <t>WOS:000181231700001</t>
  </si>
  <si>
    <t>Noone, D; Simmonds, I</t>
  </si>
  <si>
    <t>Annular variations in moisture transport mechanisms and the abundance of δ18O in Antarctic snow -: art. no. 4742</t>
  </si>
  <si>
    <t>water isotopes; annular modes; Antarctica; modeling</t>
  </si>
  <si>
    <t>GENERAL-CIRCULATION MODEL; WATER ISOTOPES; PRECIPITATION; ICE; ORIGIN; VARIABILITY; SIGNATURE; ACCUMULATION; TEMPERATURE; SIGNALS</t>
  </si>
  <si>
    <t>Water isotopes are commonly used as indicators of climate state even though many biases and variations in processes affecting the polar signal have not been quantified. Results from the Melbourne University General Circulation Model suggest the annual cycle explains half of the monthly delta(18)O variance, and a semiannual variation contributes more than 15 in places. Eddy moisture convergence drives gross accumulation, while stationary flux allows sublimation of 25-30% of the precipitation. Part of the monthly anomaly variance is associated with a dominant annular disturbance in the circulation. This oscillatory mode alters the character of the transport processes through changes to the preferred location and strength of baroclinic cyclones. A Rayleigh model indicates that a third of the continental delta(18)O anomaly can be explained by temperature-dependent fractionation, while changes to the condensation give 3 times too much depletion. The residual is explained by the migration of the zone from which midlatitude air is entrained into the polar environment by cyclonic storms. The positive phase of the annular mode is associated with an increased contribution from the near-coastal region, which enriches the continental precipitation. Such vacillation introduces bias in reconstruction using modern analogues because the spatial temperature-isotope slope is modified.</t>
  </si>
  <si>
    <t>Univ Melbourne, Sch Earth Sci, Parkville, Vic 3010, Australia</t>
  </si>
  <si>
    <t>CALTECH, Div Geol &amp; Planetary Sci, Mail Stop 100-23,1200 E Calif Blvd, Pasadena, CA 91125 USA.</t>
  </si>
  <si>
    <t>dcn@caltech.edu; simmonds@unimelb.edu.au</t>
  </si>
  <si>
    <t>Simmonds, Ian/0000-0002-4479-3255</t>
  </si>
  <si>
    <t>DEC 18</t>
  </si>
  <si>
    <t>10.1029/2002JD002262</t>
  </si>
  <si>
    <t>650FV</t>
  </si>
  <si>
    <t>WOS:000181253200005</t>
  </si>
  <si>
    <t>Kempton, PD; Pearce, JA; Barry, TL; Fitton, JG; Langmuir, C; Christie, DM</t>
  </si>
  <si>
    <t>Sr-Nd-Pb-Hf isotope results from ODP Leg 187: Evidence for mantle dynamics of the Australian-Antarctic Discordance and origin of the Indian MORB source</t>
  </si>
  <si>
    <t>GEOCHEMISTRY GEOPHYSICS GEOSYSTEMS</t>
  </si>
  <si>
    <t>Australian-Antarctic Discordance; Hf isotopes; Pb isotopes; Indian and Pacific MORB; subduction modified mantle; ocean drilling program; 1025 geochemistry : composition of the mantle; 1040 geochemistry : isotopic composition/chemistry; 8120 tectonophysics : dynamics of lithosphere and mantle-general; 9340 information related to geographic region : Indian Ocean</t>
  </si>
  <si>
    <t>PACIFIC SEA-FLOOR; KERGUELEN PLUME; GEOCHEMICAL EVIDENCE; SEDIMENTARY SYSTEM; OCEAN MANTLE; ISLAND-ARC; LU-HF; RIDGE; BENEATH; BASALTS</t>
  </si>
  <si>
    <t>[1] New high precision PIMMS Hf and Pb isotope data for 14-28 Ma basalts recovered during ODP Leg 187 are compared with zero-age dredge samples from the Australian-Antarctic Discordance (AAD). These new data show that combined Nd-Hf isotope systematics can be used as an effective discriminant between Indian and Pacific MORB source mantle domains. In particular, Indian mantle is displaced to lower epsilonNd and higher epsilonHf ratios compared to Pacific mantle. As with Pb isotope plots, there is almost no overlap between the two mantle types in Nd-Hf isotope space. On the basis of our new Nd-Hf isotope data, we demonstrate that Pacific MORB-source mantle was present near the eastern margin of the AAD from as early as 28 Ma, its boundary with Indian MORB-source mantle coinciding with the eastern edge of a basin-wide arcuate depth anomaly that is centered on the AAD. This observation rules out models requiring rapid migration of Pacific MORB mantle into the Indian Ocean basin since separation of Australia from Antarctica. Although temporal variations in isotopic composition can be discerned relative to the fracture zone boundary of the modern AAD at 127degreesE, the distribution of different compositional groups appears to have remained much the same relative to the position of the residual depth anomaly for the past 30 m.y. Thus significant lateral flow of mantle along the ridge axis toward the interface appears unlikely. Instead, the dynamics that maintain both the residual depth anomaly and the isotopic boundary between Indian and Pacific mantle are due to eastward migration of the Australian and Antarctic plates over a stagnated, but slowly upwelling, slab oriented roughly orthogonal to the ridge axis. Temporal and spatial variations in the compositions of Indian MORB basalts within the AAD can be explained by progressive displacement of shallower Indian MORB-source mantle by deeper mantle having a higher epsilonHf composition ascending ahead of the upwelling slab. Models for the origin of the distinctive composition of the Indian MORB-source based on recycling of a heterogeneous enriched component that consist of ancient altered ocean crust plus &lt;10% pelagic sediment are inconsistent with Nd-Hf isotope systematics. Instead, the data can be explained by a model in which Indian mantle includes a significant proportion of material that was processed in the mantle wedge above a subduction zone and was subsequently mixed back into unprocessed upper mantle.</t>
  </si>
  <si>
    <t>NERC, Isotope Geosci Lab, Kingsley Dunham Ctr, Keyworth NG12 5GG, Notts, England; Univ Cardiff, Dept Earth Sci, Cardiff CF10 3YE, S Glam, Wales; Univ Edinburgh, Grant Inst, Edinburgh EH9 3JW, Midlothian, Scotland; Columbia Univ, Lamont Doherty Geol Observ, Palisades, NY 10964 USA; Columbia Univ, Dept Geol Sci, Palisades, NY 10964 USA; Oregon State Univ, Coll Ocean &amp; Atmospher Sci, Corvallis, OR 97331 USA</t>
  </si>
  <si>
    <t>UK Research &amp; Innovation (UKRI); Natural Environment Research Council (NERC); NERC British Geological Survey; Cardiff University; University of Edinburgh; Columbia University; Columbia University; Oregon State University</t>
  </si>
  <si>
    <t>Kempton, PD (corresponding author), NERC, Isotope Geosci Lab, Kingsley Dunham Ctr, Keyworth NG12 5GG, Notts, England.</t>
  </si>
  <si>
    <t>Pearce, Julian A/C-5807-2009; langmuir, charles/ISV-3278-2023</t>
  </si>
  <si>
    <t>Barry, Tiffany/0000-0001-6853-6838</t>
  </si>
  <si>
    <t>1525-2027</t>
  </si>
  <si>
    <t>GEOCHEM GEOPHY GEOSY</t>
  </si>
  <si>
    <t>Geochem. Geophys. Geosyst.</t>
  </si>
  <si>
    <t>DEC 17</t>
  </si>
  <si>
    <t>10.1029/2002GC000320</t>
  </si>
  <si>
    <t>626WN</t>
  </si>
  <si>
    <t>Green Published, Green Accepted</t>
  </si>
  <si>
    <t>WOS:000179897000001</t>
  </si>
  <si>
    <t>Sun, HW; Liu, CW; Hui, CF; Wu, JL</t>
  </si>
  <si>
    <t>The carp muscle-specific sub-isoenzymes of creatine kinase form distinct dimers at different temperatures</t>
  </si>
  <si>
    <t>BIOCHEMICAL JOURNAL</t>
  </si>
  <si>
    <t>creatine kinase; dimerization; isoenzyme; temperature</t>
  </si>
  <si>
    <t>ANTARCTIC FISHES; COLD ADAPTATION; CRYSTAL-STRUCTURE; MOLECULAR-BASIS; PROTEIN; ENERGY; ENZYMES; EXPRESSION; STABILITY; BINDING</t>
  </si>
  <si>
    <t>We have previously cloned three muscle-specific sub-isoforms of creatine kinase (CK, EC 2.7.3.2) from the common carp (Cyprinus carpio), designated M1-CK, M2-CK, and M3-CK. The enzyme has a key role in maintaining the energy homoeostasis of cells with fluctuating energy requirements. In the present paper, we report that all three M-CKs in the red and white muscle of different temperature-acclimatized carp were ubiquitously distributed in the cytosol and along membranes. In addition, the expression levels of these isoforms were not significantly altered in response to the temperature acclimatization. Interestingly, our studies showed that the formation of distinct homo- or heterodimers among these three M-CKs was found at various temperatures. At higher temperature, the M1M1-CK and M2M2-CK homodimers, and the M1M3-CK heterodimer are the predominant MM-CKs, whereas the M3M3-CK achieves its homodimeric state at lower temperature. We postulated testable homology models to investigate the chemical properties of these dimeric interfaces. M1M1-CK was used as a reference to compare the structural differences with the M3M3-CK dimer. The calculated solvent accessible surface area that was buried in the contact interfaces of the M1M1-CK and M3M3-CK dimers showed an overall decrease of 12% in the M3M3-CK interface. The modelling analysis also suggested a net decrease of twelve hydrophobic residues and a Phe(3) --&gt; Lys substitution in the M3M3-CK interface. An increase in thermolability of the M3M3-CK homodimer might be due to the decrease in subunit ion pairs and buried surface area in this dimer. Based on our findings, we propose that the carp-muscle-specific CK isoenzymes could undergo shuffling to form distinct M-CK homo- or heterodimers in acclimatization to environmental temperatures.</t>
  </si>
  <si>
    <t>Acad Sinica, Inst Zool, Taipei 115, Taiwan; Natl Def Med Ctr, Grad Inst Life Sci, Taipei 117, Taiwan</t>
  </si>
  <si>
    <t>Academia Sinica - Taiwan; National Defense Medical Center</t>
  </si>
  <si>
    <t>Wu, JL (corresponding author), Acad Sinica, Inst Zool, Taipei 115, Taiwan.</t>
  </si>
  <si>
    <t>PORTLAND PRESS</t>
  </si>
  <si>
    <t>59 PORTLAND PLACE, LONDON W1N 3AJ, ENGLAND</t>
  </si>
  <si>
    <t>0264-6021</t>
  </si>
  <si>
    <t>BIOCHEM J</t>
  </si>
  <si>
    <t>Biochem. J.</t>
  </si>
  <si>
    <t>DEC 15</t>
  </si>
  <si>
    <t>10.1042/BJ20020632</t>
  </si>
  <si>
    <t>629RC</t>
  </si>
  <si>
    <t>WOS:000180061800015</t>
  </si>
  <si>
    <t>Sprovieri, F; Pirrone, N; Hedgecock, IM; Landis, MS; Stevens, RK</t>
  </si>
  <si>
    <t>Intensive atmospheric mercury measurements at Terra Nova Bay in Antarctica during November and December 2000</t>
  </si>
  <si>
    <t>mercury; mercury speciation; reactive gaseous mercury; annular denuders; Antarctica</t>
  </si>
  <si>
    <t>REACTIVE GASEOUS MERCURY; GAS-PHASE REACTION; BOUNDARY-LAYER; SOUTH-POLE; ANTHROPOGENIC SOURCES; MEDITERRANEAN REGION; ELEMENTAL MERCURY; EMISSIONS; SPRINGTIME; TRANSPORT</t>
  </si>
  <si>
    <t>[1] It is well known that due to its long atmospheric residence time, mercury is distributed on a global scale and aeolian transport is believed to be the major contributor to mercury in polar environments. No measurements of reactive gaseous mercury (RGM) at all have ever been performed in the Antarctic before. Hg-(g)(0) concentrations were in the range 0.29 to 2.3 ng m(-3), with an average value of 0.9 +/- 0.3 ng m(-3). RGM was measured using KCl-coated annular denuders and a speciation unit coupled to a TGM analyzer; concentrations ranged from 10.5 to 334 pg m(-3), with an average of 116.2 +/- 77.8 pg m(-3). The Hg-(g)(0) measurements are in good agreement with the few data available for such southerly latitudes. The RGM concentrations are as high as those found in some industrial environments; the high concentrations in the absence of local sources (anthropogenic or natural) show that in situ gas phase oxidation of Hg-0 is the most important factor influencing RGM production and therefore also Hg deposition. The toxicity of Hg means that the consequences of high concentrations of oxidized and soluble Hg species depositing in the fragile Antarctic environment could be serious indeed.</t>
  </si>
  <si>
    <t>CNR, Inst Atmosphar Pollut, I-87036 Arcavacata Di Rende, Italy; US EPA, Natl Exposure Res Lab, Res Triangle Pk, NC 27711 USA; Florida Dept Environm Protect, Tallahassee, FL 32399 USA</t>
  </si>
  <si>
    <t>Consiglio Nazionale delle Ricerche (CNR); Istituto Sull'inquinamento Atmosferico (IIA-CNR); United States Environmental Protection Agency</t>
  </si>
  <si>
    <t>Sprovieri, F (corresponding author), CNR, Inst Atmosphar Pollut, I-87036 Arcavacata Di Rende, Italy.</t>
  </si>
  <si>
    <t>pirrone@unical.it</t>
  </si>
  <si>
    <t>Hedgecock, Ian Michael/ITV-3348-2023; Pirrone, Nicola/IXD-5019-2023; Landis, Matthew/P-5149-2014</t>
  </si>
  <si>
    <t>Hedgecock, Ian Michael/0000-0002-3743-1870; Landis, Matthew/0000-0002-8742-496X</t>
  </si>
  <si>
    <t>DEC 14</t>
  </si>
  <si>
    <t>D23</t>
  </si>
  <si>
    <t>10.1029/2002JD002057</t>
  </si>
  <si>
    <t>648UN</t>
  </si>
  <si>
    <t>WOS:000181169100006</t>
  </si>
  <si>
    <t>Clilverd, MA; Clark, TDG; Clarke, E; Rishbeth, H; Ulich, T</t>
  </si>
  <si>
    <t>The causes of long-term change in the aa index -: art. no. 1441</t>
  </si>
  <si>
    <t>geomagnetic; solar; activity; cycle; aa index</t>
  </si>
  <si>
    <t>GEOMAGNETIC-ACTIVITY; MAGNETIC-FIELD; IONOSPHERE</t>
  </si>
  <si>
    <t>The aa index provides the longest geomagnetic data set that can be used in the analysis of magnetospheric and ionospheric phenomena. All phases of the solar cycle show increases in storm activity since the end of cycle 14 in 1915. The activity increase does not appear to be strongly associated with any instrumental, ionospheric or magnetospheric effects. Small effects have been confirmed in the long-term change in ionospheric Pedersen and Hall conductivities due to the changing dipole moment of the Earth but not due to increasing greenhouse gases. Three instrumental effects have been identified where significant changes in quiet time conditions can be seen, that is, 1938, 1980, and 1997. These do not account for the majority of the increase in aa. Noise levels for the aa index are now close to those seen at the beginning of the data set. The prime cause of the increase in storm activity is an increase in solar activity. The average aa in cycle 23 should be about 1 nT less than that predicted from previous cycles due to the reduction in baseline noise levels at the start of the cycle (1997).</t>
  </si>
  <si>
    <t>British Antarctic Survey, Div Phys Sci, Cambridge CB3 0ET, England; British Geol Survey, Global Seismol &amp; Geomagnetism Grp, Edinburgh EH9 3LA, Midlothian, Scotland; Univ Southampton, Dept Phys &amp; Astron, Southampton SO17 1BJ, Hants, England; Sodankyla Geophys Observ, Sodankyla, Finland</t>
  </si>
  <si>
    <t>UK Research &amp; Innovation (UKRI); Natural Environment Research Council (NERC); NERC British Antarctic Survey; UK Research &amp; Innovation (UKRI); Natural Environment Research Council (NERC); NERC British Geological Survey; University of Southampton</t>
  </si>
  <si>
    <t>British Antarctic Survey, Div Phys Sci, Madingley Rd, Cambridge CB3 0ET, England.</t>
  </si>
  <si>
    <t>m.clilverd@bas.ac.uk; tdgc@bgs.ac.uk; ecla@bgs.ac.uk; hr@phys.soton.ac.uk; thu@sgo.fi</t>
  </si>
  <si>
    <t>Rodger, Craig/A-1501-2011; Inan, Umran/V-3634-2019; Ulich, Thomas/G-3727-2018</t>
  </si>
  <si>
    <t>Inan, Umran/0000-0001-5837-5807; Ulich, Thomas/0000-0001-8217-022X; Rodger, Craig J./0000-0002-6770-2707</t>
  </si>
  <si>
    <t>10.1029/2001JA000501</t>
  </si>
  <si>
    <t>649AU</t>
  </si>
  <si>
    <t>WOS:000181185400001</t>
  </si>
  <si>
    <t>Cunningham, AP; Larter, RD; Barker, PF; Gohl, K; Nitsche, FO</t>
  </si>
  <si>
    <t>Tectonic evolution of the Pacific margin of Antarctica 2. Structure of Late Cretaceous-early Tertiary plate boundaries in the Bellingshausen Sea from seismic reflection and gravity data</t>
  </si>
  <si>
    <t>JOURNAL OF GEOPHYSICAL RESEARCH-SOLID EARTH</t>
  </si>
  <si>
    <t>Antarctic; Pacific; Bellingshausen Sea; Cretaceous; Tertiary; continental margin</t>
  </si>
  <si>
    <t>SUBDUCTION HISTORY; CONTINENTAL-MARGIN; SOUTHEAST PACIFIC; WEST ANTARCTICA; FRACTURE-ZONE; TRENCH; PENINSULA; RIDGE; SEAMOUNTS; EROSION</t>
  </si>
  <si>
    <t>Interpretations of multichannel seismic (MCS) reflection and potential field data suggest that some prominent gravity anomalies in the Bellingshausen Sea are associated with plate boundaries that were active during the Late Cretaceous and early Tertiary. Between 83degrees and 93degreesW, a belt of negative anomalies extends along the West Antarctic continental slope, which we term the continental slope gravity anomaly (CSGA). MCS profiles show that the CSGA coincides with an acoustically opaque structural high imaged beneath the lower slope. We interpret this structure as the upper part of an accretionary prism which formed during southward subduction of the Phoenix and Charcot plates, before Chatham Rise separated from West Antarctica. MCS profiles crossing the same margin to the northeast show no evidence of an extensive buried accretionary prism, but instead reveal an abrupt northeastward steepening of the continental slope near 78degreesW. We attribute this change in tectonic style, at least in part, to subduction erosion resulting from subduction of rough oceanic basement which formed at the Antarctic-Phoenix ridge after an abrupt decrease in spreading rate at chron 23r (52 Ma). Near 95degreesW, the Bellingshausen gravity anomaly (BGA) consists of a prominent low-high gravity couple which crosses the West Antarctic continental shelf, slope, and rise. The BGA corresponds to a buried asymmetric basement trough, where Cretaceous oceanic basement dips beneath more elevated basement to the east. The trough probably formed after subduction of Charcot plate ocean floor stalled at the nearby Antarctic Peninsula margin, near the end of the Cretaceous Normal Superchron. Ocean floor to the east of the BGA became attached to the Antarctic Peninsula, and the BGA trough subsequently accommodated a small amount of convergent motion between the Antarctic Peninsula and the ocean floor to the west (initially part of the Marie Byrd Land plate and later part of the Bellingshausen plate). Tectonism probably ceased at the BGAat chron 27 (61 Ma), as a result of a general plate reorganization in the South Pacific.</t>
  </si>
  <si>
    <t>British Antarctic Survey, NERC, Cambridge CB3 0ET, England; Alfred Wegener Inst Polar &amp; Marine Res, D-27515 Bremerhaven, Germany</t>
  </si>
  <si>
    <t>UK Research &amp; Innovation (UKRI); Natural Environment Research Council (NERC); NERC British Antarctic Survey; Helmholtz Association; Alfred Wegener Institute, Helmholtz Centre for Polar &amp; Marine Research</t>
  </si>
  <si>
    <t>Cunningham, AP (corresponding author), ARK CLS Ltd, Mill Court,Featherstone Rd,Wolverton Mill S, Milton Keynes MK12 5EU, Bucks, England.</t>
  </si>
  <si>
    <t>alex.cunningham@arkcls.com; r.larter@bas.ac.uk; p.barker@bas.ac.uk; kgohl@awi-bremerhaven.de; fnitsche@ldeo.columbia.edu</t>
  </si>
  <si>
    <t>Nitsche, Frank O/A-9343-2009</t>
  </si>
  <si>
    <t>Nitsche, Frank O/0000-0002-4137-547X; Larter, Robert/0000-0002-8414-7389; Gohl, Karsten/0000-0002-9558-2116</t>
  </si>
  <si>
    <t>2169-9313</t>
  </si>
  <si>
    <t>2169-9356</t>
  </si>
  <si>
    <t>J GEOPHYS RES-SOL EA</t>
  </si>
  <si>
    <t>J. Geophys. Res.-Solid Earth</t>
  </si>
  <si>
    <t>DEC 13</t>
  </si>
  <si>
    <t>B12</t>
  </si>
  <si>
    <t>10.1029/2002JB001897</t>
  </si>
  <si>
    <t>648XE</t>
  </si>
  <si>
    <t>WOS:000181175800004</t>
  </si>
  <si>
    <t>Larter, RD; Cunningham, AP; Barker, PF; Gohl, K; Nitsche, FO</t>
  </si>
  <si>
    <t>Tectonic evolution of the Pacific margin of Antarctica 1. Late Cretaceous tectonic reconstructions</t>
  </si>
  <si>
    <t>Pacific; New Zealand; Bellingshausen Sea; Cretaceous; gravity; magnetic anomaly</t>
  </si>
  <si>
    <t>FORE-ARC MAGMATISM; NEW-ZEALAND REGION; MARIE BYRD LAND; WEST ANTARCTICA; SUBDUCTION HISTORY; BELLINGSHAUSEN SEA; SOUTHEAST PACIFIC; SOUTHWEST PACIFIC; ALEXANDER ISLAND; FRACTURE-ZONE</t>
  </si>
  <si>
    <t>We present new Late Cretaceous tectonic reconstructions of the Pacific margin of Antarctica based on constraints from marine magnetic data and regional free-air gravity fields. Results from interpretation of new seismic reflection and gravity profiles collected in the Bellingshausen Sea are also incorporated in the reconstructions. The reconstructions show regional constraints on tectonic evolution of the Bellingshausen and Amundsen Seas following the breakup between New Zealand and West Antarctica. The breakup began at c. 90 Ma with the separation of Chatham Rise, probably accompanied by the opening of the Bounty Trough. Campbell Plateau separated from West Antarctica later, during chron 33r (83.0-79.1 Ma). A free-air gravity lineation northeast of Chatham Rise represents the trace of a triple junction that formed as a result of fragmentation of the Phoenix plate a few million years before Chatham Rise separated from West Antarctica. Remnants of the western fragment, the Charcot plate, are preserved in the Bellingshausen Sea. Subduction of the Charcot plate stopped before 83 Ma, and part of it became coupled to the Antarctic Peninsula across the stalled subduction zone. Subsequent convergence at the western margin of this captured ocean floor produced the structures that are the main cause of the Bellingshausen gravity anomaly. Part of a spreading ridge at the western boundary of the Phoenix plate (initially Charcot-Phoenix, evolving into Marie Byrd Land-Phoenix, and eventually Bellingshausen-Phoenix (BEL-PHO)) probably subducted obliquely beneath the southern Antarctic Peninsula during the Late Cretaceous. All of the Phoenix plate ocean floor subducted at the Antarctic Peninsula margin during the Late Cretaceous was probably &lt;14 Myr old when it reached the trench. Several observations suggest that independent Bellingshausen plate motion began near the end of chron 33n (73.6 Ma). Reconstructions in which part of the West Antarctic continental margin, including Thurston Island, is assumed to have been within the Bellingshausen plate seem more plausible than ones in which the plate is assumed to have been entirely oceanic.</t>
  </si>
  <si>
    <t>r.larter@bas.ac.uk; alex.cunningham@bas.ac.uk; p.barker@bas.ac.uk; kgohl@awi-bremerhaven.de; fnitsche@ldeo.columbia.edu</t>
  </si>
  <si>
    <t>10.1029/2000JB000052</t>
  </si>
  <si>
    <t>WOS:000181175800001</t>
  </si>
  <si>
    <t>Smith, AJ; Freeman, MP; Hunter, S; Milling, DK</t>
  </si>
  <si>
    <t>VLF, magnetic bay, and Pi2 substorm signatures at auroral and midlatitude ground stations</t>
  </si>
  <si>
    <t>substorm; current wedge; Pi2; chorus; magnetic bay</t>
  </si>
  <si>
    <t>MAGNETOSPHERIC SUBSTORMS; CURRENT SYSTEMS; SATELLITE; MODEL; ONSET</t>
  </si>
  <si>
    <t>[1] A superposed epoch analysis of 100-300 substorms is performed to determine the median size and shape of the substorm-associated VLF chorus, magnetic bay, and Pi2 pulsation burst observed at the near-auroral Halley research station, Antarctica, and at the midlatitude Faraday station at three different local times (2230, 2330, 0130 MLT). The spatial and temporal properties of the magnetic bay signatures are compared with the University of York implementation of the Kisabeth-Rostoker substorm current wedge (SCW) model and the Weimer pulse model, respectively. These constitute the best analytical models of the substorm to date. It is shown that the polarities and relative amplitudes of the observed magnetic bays in the H, D, and Z components at Halley at midnight MLT and at Faraday in the premidnight sector are consistent with the York model for a SCW 3 hours wide in MLT with its westward electrojet at 67 degreesS magnetic latitude. In particular the little-discussed Z component of the bay agrees with the model and is shown to be the clearest substorm signature of the three components, especially at midlatitude. The midnight and postmidnight bays are similar to the premidnight case but progressively smaller and cannot be fully reconciled with the model. The shape of the H and Z bays at Halley and the D bays at Faraday fit a normalized Weimer pulse well, with Weimer's 2 h(-1) recovery rate, but the other components do not. The D component at Halley and H at Faraday do fit the Weimer pulse shape but with a faster recovery rate of 4 h(-1). It is proposed that this is due to the effect of a decaying current in the SCW combining with the geometrical effect of changing SCW configuration and position relative to the observing station. The Z component at Faraday recovers more slowly than the 2 h(-1) Weimer prediction; we cannot explain this. Secondary bays at Halley and Faraday show a clear tendency to recur after 2 hours. Inflection points just prior to onset at Halley and Faraday are argued to be related to reduced convection associated with northward turning of the IMF. The median substorm signature at Halley in the Pi2 frequency band (7-25 mHz) is well correlated with the bay structure, showing that it is part of a broader band, possibly turbulent, spectrum in the substorm-dependent DP2 current. There is evidence of a minor additional narrow band component occurring at substorm onset. This is the dominant signal at Faraday which shows the classic midlatitude substorm signature, a short Pi2 pulsation burst at onset, that decreases progressively in intensity with increasing local time, implying a source region biased to the evening side or else preferred propagation to the east from a near-midnight source.</t>
  </si>
  <si>
    <t>British Antarctic Survey, Cambridge CB3 0ET, England; Univ York, Dept Phys, York YO10 5DD, N Yorkshire, England</t>
  </si>
  <si>
    <t>UK Research &amp; Innovation (UKRI); Natural Environment Research Council (NERC); NERC British Antarctic Survey; University of York - UK</t>
  </si>
  <si>
    <t>a.j.smith@bas.ac.uk; m.freeman@bas.ac.uk; dave@samsun.york.ac.uk</t>
  </si>
  <si>
    <t>Freeman, Mervyn/E-5687-2019</t>
  </si>
  <si>
    <t>Freeman, Mervyn/0000-0002-8653-8279</t>
  </si>
  <si>
    <t>10.1029/2002JA009389</t>
  </si>
  <si>
    <t>649AP</t>
  </si>
  <si>
    <t>WOS:000181185000002</t>
  </si>
  <si>
    <t>Rathke, C; Notholt, J; Fischer, J; Herber, A</t>
  </si>
  <si>
    <t>Properties of coastal Antarctic aerosol from combined FTIR spectrometer and sun photometer measurements</t>
  </si>
  <si>
    <t>OPTICAL-CONSTANTS; AMMONIUM-SULFATE; SULFURIC-ACID; LOW-TEMPERATURE; ICE NUCLEATION; DELIQUESCENCE; STATION</t>
  </si>
  <si>
    <t>[1] Remotely sensing the physical and chemical properties of summertime aerosol at the Antarctic coastal station Neumayer has been accomplished for the first time by a combined analysis of atmospheric thermal emission spectra, measured by an FTIR spectrometer, and atmospheric visible-near infrared extinction spectra, measured by a sun photometer. From the synergy of both spectral ranges, we find that the aerosol is composed of 1.1-1.6 mg m(-2) of sulfates, with the water component in the solid phase, having a bimodal size distribution with radii peaking at 0.04 and 0.64 mum. We also provide the first estimate of the direct thermal radiative forcing of this aerosol: +1.68 W m(-2) at the surface, and +0.006 W m(-2) at the top of the atmosphere.</t>
  </si>
  <si>
    <t>Free Univ Berlin, Inst Weltraumwissensch, D-12165 Berlin, Germany; Univ Bremen, Inst Umweltphys, D-28359 Bremen, Germany; Alfred Wegener Inst Polar &amp; Marine Res, D-27515 Bremerhaven, Germany</t>
  </si>
  <si>
    <t>Free University of Berlin; University of Bremen; Helmholtz Association; Alfred Wegener Institute, Helmholtz Centre for Polar &amp; Marine Research</t>
  </si>
  <si>
    <t>Free Univ Berlin, Inst Weltraumwissensch, Carl Heinrich Becker Weg 6-10, D-12165 Berlin, Germany.</t>
  </si>
  <si>
    <t>rathkec@zedat.fu-berlin.de</t>
  </si>
  <si>
    <t>Notholt, Justus/P-4520-2016</t>
  </si>
  <si>
    <t>Notholt, Justus/0000-0002-3324-885X</t>
  </si>
  <si>
    <t>DEC 12</t>
  </si>
  <si>
    <t>10.1029/2002GL015395</t>
  </si>
  <si>
    <t>647MM</t>
  </si>
  <si>
    <t>WOS:000181096700002</t>
  </si>
  <si>
    <t>Haywood, AM; Valdes, PJ; Francis, JE; Sellwood, BW</t>
  </si>
  <si>
    <t>Global middle Pliocene biome reconstruction: A data/model synthesis</t>
  </si>
  <si>
    <t>middle Pliocene; GCM; biomes; palaeobotany; palynology; 1699 global change : general or miscellaneous; 3344 meteorology and atmospheric dynamics : paleoclimatology; 3337 meteorology and atmospheric dynamics : numerical modeling and data assimilation</t>
  </si>
  <si>
    <t>GENERAL-CIRCULATION MODEL; WESTERN UNITED-STATES; ANTARCTIC ICE-SHEET; GREAT-SALT-LAKE; SIRIUS GROUP; TRANSANTARCTIC MOUNTAINS; LATE NEOGENE; DRY-VALLEYS; NEOTROPICAL PALEOBOTANY; JOINT INVESTIGATIONS</t>
  </si>
  <si>
    <t>[1] The middle Pliocene warm interval (ca. 3 Ma BP) has been extensively studied. However, our knowledge concerning the global distribution of middle Pliocene biomes remains far from complete. This paper presents the results from a first attempt'' at simulating the distribution of different mid-Pliocene biomes using an advanced numerical general circulation climate model (Hadley Centre Atmospheric Model Version 3) and the BIOME 4 vegetation model. The modeling indicates that during the middle Pliocene the geographical coverage of tundra type biomes may have been significantly reduced compared with the present day in the Northern Hemisphere. High-latitude forests expand in the place of tundra forms of vegetation. Total area covered by forest increases for the Pliocene case compared with the present day. Arid deserts become less prevalent in the Pliocene scenario and are replaced by tropical xerophytic shrublands and savanna-type vegetation. These results compare favorably with geological data in general and with the U. S. Geological Survey's PRISM2 middle Pliocene vegetation reconstruction, although data/model inconsistencies are apparent. Although some of these inconsistencies relate to the weaknesses of the climate and biome model employed, others identify deficiencies in the extant geological data set or the interpretation of this data. This modeled biome reconstruction will serve as a useful vehicle for aiding in future comparisons between geological data on middle Pliocene biomes and model predictions.</t>
  </si>
  <si>
    <t>Univ Reading, Dept Meteorol, Reading RG6 6BB, Berks, England; Univ Leeds, Dept Earth Sci, Leeds LS2 9JT, W Yorkshire, England; Univ Reading, Postgrad Res Inst Sedimentol, Reading RG6 6AB, Berks, England</t>
  </si>
  <si>
    <t>University of Reading; University of Leeds; University of Reading</t>
  </si>
  <si>
    <t>Haywood, AM (corresponding author), Univ Reading, Dept Meteorol, Earley Gate,POB 243, Reading RG6 6BB, Berks, England.</t>
  </si>
  <si>
    <t>Valdes, Paul J/C-4129-2013; Valdes, Paul/T-2004-2019</t>
  </si>
  <si>
    <t>Valdes, Paul/0000-0002-1902-3283</t>
  </si>
  <si>
    <t>DEC 11</t>
  </si>
  <si>
    <t>10.1029/2002GC000358</t>
  </si>
  <si>
    <t>625ZK</t>
  </si>
  <si>
    <t>WOS:000179845300002</t>
  </si>
  <si>
    <t>Danilin, MY; Ko, MKW; Bevilacqua, RM; Lyjak, LV; Froidevaux, L; Santee, ML; Zawodny, JM; Hoppel, KW; Richard, EC; Spackman, JR; Weinstock, EM; Herman, RL; McKinney, KA; Wennberg, PO; Eisele, FL; Stimpfle, RM; Scott, CJ; Elkins, JW; Bui, TV</t>
  </si>
  <si>
    <t>Comparison of ER-2 aircraft and POAM III, MLS, and SAGE II satellite measurements during SOLVE using traditional correlative analysis and trajectory hunting technique</t>
  </si>
  <si>
    <t>measurement comparison; trajectory hunting; correactive analysis; SOLVE</t>
  </si>
  <si>
    <t>SOUNDER HNO3 OBSERVATIONS; ANTARCTIC OZONE HOLE; IN-SITU MEASUREMENTS; GAS EXPERIMENT II; LOWER STRATOSPHERE; POLAR OZONE; CHLORINE ACTIVATION; MIDDLE ATMOSPHERE; UPPER TROPOSPHERE; CLO MEASUREMENTS</t>
  </si>
  <si>
    <t>[1] We compared the version 5 Microwave Limb Sounder (MLS), version 3 Polar Ozone and Aerosol Measurement III (POAM III), version 6.0 Stratospheric Aerosol and Gas Experiment II (SAGE II), and NASA ER-2 aircraft measurements made in the Northern Hemisphere in January-February 2000 during the SAGE III Ozone Loss and Validation Experiment (SOLVE). This study addresses one of the key scientific objectives of the SOLVE campaign, namely, to validate multiplatform satellite measurements made in the polar stratosphere during winter. This intercomparison was performed by using a traditional correlative analysis (TCA) and a trajectory hunting technique (THT). TCA compares profiles colocated within a chosen spatial-temporal vicinity. Launching backward and forward trajectories from the points of measurement, the THT identifies air parcels sampled at least twice within a prescribed match criterion during the course of 5 days. We found that the ozone measurements made by these four instruments agree most of the time within +/-10% in the stratosphere up to 1400 K (similar to35 km). The water vapor measurements from POAM III and the ER-2 Harvard Lyman alpha hygrometer and Jet Propulsion Laboratory laser hygrometer agree to within +/-0.5 ppmv (or about +/-10%) in the lower stratosphere above 380 K. The MLS and ER-2 ClO measurements agree within their error bars for the TCA. The MLS and ER-2 nitric acid measurements near 17- to 20-km altitude agree within their uncertainties most of the time with a hint of a positive offset by MLS according to the TCA. We also applied the Atmospheric and Environmental Research, Inc. box model constrained by the ER-2 measurements for analysis of the ClO and HNO3 measurements using the THT. We found that: (1) the model values of ClO are smaller by about 0.3-0.4 (0.2) ppbv below (above) 400 K than those by MLS and (2) the HNO3 comparison shows a positive offset of MLS values by similar to1 and 1-2 ppbv below 400 K and near 450 K, respectively. Our study shows that, with some limitations (like HNO3 comparison under polar stratospheric cloud conditions), the THT is a more powerful tool for validation studies than the TCA, making conclusions of the comparison statistically more robust.</t>
  </si>
  <si>
    <t>Atmospher &amp; Environm Res Inc, Lexington, MA 02421 USA; USN, Res Lab, Washington, DC 20375 USA; Natl Ctr Atmospher Res, ACD, Boulder, CO 80303 USA; NASA, Jet Prop Lab, Pasadena, CA 91109 USA; NASA, Langley Res Ctr, Hampton, VA 23681 USA; NOAA, Aeron Lab, Boulder, CO 80303 USA; Harvard Univ, Dept Earth &amp; Planetary Sci, Cambridge, MA 02138 USA; CALTECH, Div Geol &amp; Planetary Sci, Pasadena, CA 91125 USA; Georgia Inst Technol, Atlanta, GA 30332 USA; NASA, Ames Res Ctr, Moffett Field, CA 94035 USA; Harvard Univ, Dept Chem &amp; Biol Chem, Cambridge, MA 02138 USA</t>
  </si>
  <si>
    <t>Atmospheric &amp; Environmental Research; United States Department of Defense; United States Navy; Naval Research Laboratory; National Center Atmospheric Research (NCAR) - USA; National Aeronautics &amp; Space Administration (NASA); NASA Jet Propulsion Laboratory (JPL); National Aeronautics &amp; Space Administration (NASA); NASA Langley Research Center; National Oceanic Atmospheric Admin (NOAA) - USA; Harvard University; California Institute of Technology; University System of Georgia; Georgia Institute of Technology; National Aeronautics &amp; Space Administration (NASA); NASA Ames Research Center; Harvard University</t>
  </si>
  <si>
    <t>Boeing Co, MS 0R-RC,POB 3707, Seattle, WA 98124 USA.</t>
  </si>
  <si>
    <t>danilin@h2o.ca.boeing.com</t>
  </si>
  <si>
    <t>Santee, MIchelle/R-5762-2019; Herman, Robert/H-9389-2012; Ko, Malcolm/D-5898-2015; Herman, Robert L./AAK-1986-2020; Wennberg, Paul/A-5460-2012</t>
  </si>
  <si>
    <t>Herman, Robert/0000-0001-7063-6424; Herman, Robert L./0000-0001-7063-6424; Wennberg, Paul/0000-0002-6126-3854</t>
  </si>
  <si>
    <t>10.1029/2001JD000781</t>
  </si>
  <si>
    <t>648VP</t>
  </si>
  <si>
    <t>Green Submitted, Green Accepted, Bronze</t>
  </si>
  <si>
    <t>WOS:000181171700001</t>
  </si>
  <si>
    <t>Sant, DA; Rangarajan, G</t>
  </si>
  <si>
    <t>Onset of climate change at Last Glacial-Holocene transition: Role of the tropical Pacific</t>
  </si>
  <si>
    <t>CURRENT SCIENCE</t>
  </si>
  <si>
    <t>EAST-ASIAN MONSOON; ICE-CORE; ATMOSPHERIC METHANE; THAR DESERT; LAKE BIWA; RECORD; GREENLAND; WATER; FLUCTUATIONS; OSCILLATION</t>
  </si>
  <si>
    <t>We study palaeoclimatic records from various sites spread around the earth, focusing on the start of the last glacial-interglacial transition. The warming, as recorded in the delta(18)O record started first in the tropics, then propagated to the Antarctic and then finally to the Arctic. Our analysis of the data suggests that it took about 7.6 ka for onset of climate change to propagate globally. We propose that the tropical Pacific played a major role in initiating the warming in the tropics. We discuss mechanisms that could have transported this heat from the tropics to Antarctica and then to the Arctic during transition to the interglacial.</t>
  </si>
  <si>
    <t>Maharaja Sayajirao Univ Baroda, Dept Geol, Baroda 390002, Gujarat, India; Indian Inst Sci, Ctr Theoret Studies, Bangalore 560012, Karnataka, India; Indian Inst Sci, Dept Math, Bangalore 560012, Karnataka, India</t>
  </si>
  <si>
    <t>Maharaja Sayajirao University Baroda; Indian Institute of Science (IISC) - Bangalore; Indian Institute of Science (IISC) - Bangalore</t>
  </si>
  <si>
    <t>Maharaja Sayajirao Univ Baroda, Dept Geol, Baroda 390002, Gujarat, India.</t>
  </si>
  <si>
    <t>rangaraj@math.iisc.ernet.in</t>
  </si>
  <si>
    <t>Sant, Dhananjay/AAX-2666-2021</t>
  </si>
  <si>
    <t>Sant, Dhananjay/0000-0002-1107-8765</t>
  </si>
  <si>
    <t>INDIAN ACAD SCIENCES</t>
  </si>
  <si>
    <t>BANGALORE</t>
  </si>
  <si>
    <t>C V RAMAN AVENUE, SADASHIVANAGAR, P B #8005, BANGALORE 560 080, INDIA</t>
  </si>
  <si>
    <t>0011-3891</t>
  </si>
  <si>
    <t>CURR SCI INDIA</t>
  </si>
  <si>
    <t>Curr. Sci.</t>
  </si>
  <si>
    <t>DEC 10</t>
  </si>
  <si>
    <t>Multidisciplinary Sciences</t>
  </si>
  <si>
    <t>Science &amp; Technology - Other Topics</t>
  </si>
  <si>
    <t>626ZD</t>
  </si>
  <si>
    <t>WOS:000179902900028</t>
  </si>
  <si>
    <t>Rathke, C; Neshyba, S; Shupe, MD; Rowe, P; Rivers, A</t>
  </si>
  <si>
    <t>Radiative and microphysical properties of Arctic stratus clouds from multiangle downwelling infrared radiances</t>
  </si>
  <si>
    <t>infrared emission; Arctic clouds; multiangle FTIR spectroscopy; horizontal inhomogeneity; longwave flux; SHEBA</t>
  </si>
  <si>
    <t>OPTICAL-CONSTANTS; ANTARCTIC PLATEAU; ICE; WATER; SURFACE; SOUNDER; FLUXES; MODEL</t>
  </si>
  <si>
    <t>[1] The information content of multiangle downwelling infrared radiance spectra of stratus clouds is investigated. As an example, 76 sets of spectra were measured at angles of 0, 15, 30 and 45degrees from zenith, using an interferometer based at the Surface Heat Budget of the Arctic Ocean (SHEBA) drifting ice camp. Exploiting the angular variation of radiance in infrared microwindows, a geometric'' algorithm is used to determine cloud temperature and optical depth without auxiliary information. For comparison, a spectral method allows us to infer cloud microphysical properties for each angle; each multiangle set therefore constitutes a microphysical characterization of horizontal inhomogeneity of the cloudy scene. We show that cloud temperatures determined with both approaches agree with temperatures obtained from lidar/radiosonde data. The multiangle radiance observations can also be used to calculate the longwave flux reaching the surface. We find that up to 14 W m(-2) of the overcast fluxes can be attributed to horizontal variations in cloud microphysical properties.</t>
  </si>
  <si>
    <t>Free Univ Berlin, Inst Weltraumwissensch, D-12165 Berlin, Germany; Univ Puget Sound, Dept Chem, Tacoma, WA 98416 USA; Univ Colorado, Cooperat Inst Res Environm Sci, Boulder, CO 80309 USA; NOAA, Environm Technol Lab, Sci &amp; Technol Corp, Boulder, CO 80305 USA; Univ Washington, Dept Chem, Seattle, WA 98195 USA</t>
  </si>
  <si>
    <t>Free University of Berlin; University of Colorado System; University of Colorado Boulder; National Oceanic Atmospheric Admin (NOAA) - USA; University of Washington; University of Washington Seattle</t>
  </si>
  <si>
    <t>Free Univ Berlin, Inst Weltraumwissensch, Carl heinrich Becker Weg 6-10, D-12165 Berlin, Germany.</t>
  </si>
  <si>
    <t>rathkec@zedat.fu-berlin.de; nesh@ups.edu; Matthew.Shupe@noaa.gov; prowe@u.washington.edu; raaron@cires.colorado.edu</t>
  </si>
  <si>
    <t>SHUPE, MATTHEW/F-8754-2011</t>
  </si>
  <si>
    <t>SHUPE, MATTHEW/0000-0002-0973-9982</t>
  </si>
  <si>
    <t>10.1029/2001JD001545</t>
  </si>
  <si>
    <t>647UH</t>
  </si>
  <si>
    <t>WOS:000181112100002</t>
  </si>
  <si>
    <t>Rempel, AW; Wettlaufer, JS; Waddington, ED</t>
  </si>
  <si>
    <t>Anomalous diffusion of multiple impurity species: Predicted implications for the ice core climate records</t>
  </si>
  <si>
    <t>premelting; paleoclimate; segregation; soluble impurities; anomalous diffusion</t>
  </si>
  <si>
    <t>WATER-VEIN SYSTEM; GREENLAND ICE; POLYCRYSTALLINE ICE; GRAIN-BOUNDARIES; THERMAL-BEHAVIOR; ANTARCTIC ICE; PROJECT; ACID; RECRYSTALLIZATION; DELTA-O-18</t>
  </si>
  <si>
    <t>[1] We investigate the transport of impurities that are interpreted as climate proxies and are soluble in the premelted liquid that separates ice grains in the polar ice sheets even at subfreezing temperatures. Spatial variations in the relative abundances of multiple impurity species lead to gradients in their intergranular concentrations, defined as the ratio of the mass of dissolved impurity to the mass of premelted liquid. We show how diffusion down these intergranular concentration gradients affects anomalies in the bulk concentrations, defined as the ratio of the impurity mass to the mass of a polycrystalline sample, which are measured in polar ice cores. To illustrate these processes, we show that two initially asynchronous, periodic signals evolve to become in-phase after a short time: similar behavior is evident in coastal Antarctica, where there is a migration of methane sulfonate (MSA) from summer to winter peaks, and it becomes in-phase with the primary deposition of sea salt. Moreover, the approach allows us to examine how an initially constant bulk concentration profile is influenced by an abrupt change to the bulk concentration of a second component. The resulting profiles share features with those observed in the Eemian compositional record from the Greenland Ice Core Project (GRIP) ice core.</t>
  </si>
  <si>
    <t>Univ Washington, Dept Earth &amp; Space Sci, Seattle, WA 98195 USA</t>
  </si>
  <si>
    <t>University of Washington; University of Washington Seattle</t>
  </si>
  <si>
    <t>Rempel, AW (corresponding author), Yale Univ, Dept Geol &amp; Geophys, New Haven, CT 06520 USA.</t>
  </si>
  <si>
    <t>alan.rempel@yale.edu</t>
  </si>
  <si>
    <t>Wettlaufer, John/AAZ-9949-2021</t>
  </si>
  <si>
    <t>DEC 6</t>
  </si>
  <si>
    <t>10.1029/2002JB001857</t>
  </si>
  <si>
    <t>646GV</t>
  </si>
  <si>
    <t>WOS:000181028000008</t>
  </si>
  <si>
    <t>Rankin, AM; Wolff, EW; Martin, S</t>
  </si>
  <si>
    <t>Frost flowers: Implications for tropospheric chemistry and ice core interpretation</t>
  </si>
  <si>
    <t>frost flowers; ice cores; aerosol; sea salt; tropospheric ozone</t>
  </si>
  <si>
    <t>SEA-SALT AEROSOL; COASTAL ANTARCTIC AEROSOL; OZONE DESTRUCTION; SURFACE-AREA; SEASONAL-VARIATIONS; POLAR SUNRISE; SNOW; BROMINE; ATMOSPHERE; DEPLETION</t>
  </si>
  <si>
    <t>[1] This paper discusses the chemical composition of frost flowers and their accompanying slush layers and the evidence for their role as a salt source in processes important to atmospheric chemistry and ice core interpretation. Analysis of Antarctic frost flowers shows that they are highly saline and fractionated in sea- salt ions, with sulfate being depleted strongly relative to sodium. Because frost flowers give a bright return on satellite scatterometer images, the times and places of their formation can be identified. When winds blow towards an aerosol sampling station from areas identified by the scatterometer as covered with flowers, the collected aerosol is also depleted in sulfate. Because the flowers have a large salinity, bromide concentrations are elevated in frost flowers relative to seawater. With their high surface area, it is possible that bromine is released to the atmosphere from frost flowers, with consequent implications for tropospheric ozone depletion. The finding that quantities of fractionated sea salt are available at the sea- ice interface in the winter months and may be transported inland as aerosol also has implications for the interpretation of ice core records. Analysis of one near- coastal core shows that the majority of the sodium comes from a fractionated source rather than from open water. Hitherto, strong sea- salt signals in ice cores have been attributed to increased open water and more efficient transport inland, perhaps due to stormier weather. At least in coastal regions, however, these signals may be related instead to the increased formation of sea ice and frost flowers.</t>
  </si>
  <si>
    <t>British Antarctic Survey, NERC, Cambridge CB3 0ET, England; Univ Washington, Sch Oceanog, Seattle, WA 98195 USA</t>
  </si>
  <si>
    <t>UK Research &amp; Innovation (UKRI); Natural Environment Research Council (NERC); NERC British Antarctic Survey; University of Washington; University of Washington Seattle</t>
  </si>
  <si>
    <t>a.rankin@bas.ac.uk</t>
  </si>
  <si>
    <t>Wolff, Eric W/D-7925-2014</t>
  </si>
  <si>
    <t>Wolff, Eric W/0000-0002-5914-8531</t>
  </si>
  <si>
    <t>DEC 4</t>
  </si>
  <si>
    <t>10.1029/2002JD002492</t>
  </si>
  <si>
    <t>646UY</t>
  </si>
  <si>
    <t>WOS:000181055000004</t>
  </si>
  <si>
    <t>Déry, SJ; Yau, MK</t>
  </si>
  <si>
    <t>Large-scale mass balance effects of blowing snow and surface sublimation -: art. no. 4679</t>
  </si>
  <si>
    <t>blowing snow; Mackenzie Basin; mass balance; snow; sublimation; water budget</t>
  </si>
  <si>
    <t>MACKENZIE RIVER; ANTARCTIC PRECIPITATION; SNOWDRIFT SUBLIMATION; TEMPORAL VARIABILITY; ARCTIC PRECIPITATION; WATER-VAPOR; MODEL; TRANSPORT; ENERGY; HALLEY</t>
  </si>
  <si>
    <t>[1] This study examines the effects of surface sublimation and blowing snow on the surface mass balance on a global and basin scale using the European Centre for Medium-Range Weather Forecasts (ECMWF) Re-Analysis (ERA15) data at a resolution of 2.5degrees that span the years 1979-1993. The combined processes of surface and blowing snow sublimation are estimated to remove 29 mm yr(-1) snow-water equivalent (swe) over Antarctica, disposing about 17 to 20% of its annual precipitation. In the Northern Hemisphere, these processes are generally less important in continental areas than over the frozen Arctic Ocean, where surface and blowing snow sublimation deplete upward of 100 mm yr(-1) swe. Areas with frequent blowing snow episodes, such as the coastal regions of Antarctica and the Arctic Ocean, are prone to a mass transport &gt;100 Mg m(-1) yr(-1). Although important locally, values of the divergence of mass through wind redistribution are generally 2 orders of magnitude less than surface and blowing snow sublimation when evaluated over large areas. For the entire Mackenzie River Basin of Canada, surface sublimation remains the dominant sink of mass as it removes 29 mm yr(-1) swe, or about 7% of the watershed's annual precipitation. Although the first of its kind, this study provides only a first-order estimate of the contribution of surface sublimation and blowing snow to the surface mass balance because of limitations with the data set and some uncertainties in the blowing snow process.</t>
  </si>
  <si>
    <t>McGill Univ, Dept Atmospher &amp; Ocean Sci, Montreal, PQ H3A 2K6, Canada</t>
  </si>
  <si>
    <t>McGill University</t>
  </si>
  <si>
    <t>dery@ldeo.columbia.edu</t>
  </si>
  <si>
    <t>DEC 3</t>
  </si>
  <si>
    <t>10.1029/2001JD001251</t>
  </si>
  <si>
    <t>646UU</t>
  </si>
  <si>
    <t>WOS:000181054600003</t>
  </si>
  <si>
    <t>Weller, R; Jones, AE; Wille, A; Jacobi, HW; McIntyre, HP; Sturges, WT; Huke, M; Wagenbach, D</t>
  </si>
  <si>
    <t>Seasonality of reactive nitrogen oxides (NOy) at Neumayer Station, Antarctica -: art. no. 4673</t>
  </si>
  <si>
    <t>reactive nitrogen oxides; nitric acid; NO; alkyl nitrates</t>
  </si>
  <si>
    <t>PEROXYACETYL NITRATE PAN; LOWER STRATOSPHERE; ARCTIC TROPOSPHERE; SOUTH-POLE; ICE-SHEET; GREENLAND; SPECIATION; CHEMISTRY; AEROSOL; SNOW</t>
  </si>
  <si>
    <t>[1] NO, NOy (total reactive nitrogen oxides), gaseous HNO3, and particulate nitrate (p-NO3-) were measured at Neumayer Station from February 1999 to January 2000. In addition, during February 1999, the NOy component species peroxyacetyl nitrate (PAN) and methyl, ethyl, i-propyl, and n-propyl nitrates were determined. We found a mean NOy mixing ratio of 46 +/- 29 pptv, with significantly higher values between February and end of May (58 +/- 35 pptv). Between February and November, the (HNO3 + p-NO3-)/NOy ratio was extremely low (around 0.22) and in contrast to NOy the seasonality of p-NO3 and HNO3 showed a distinct maximum in November and December, leading to a (HNO3 + p-NO3-)/NOy ratio of 0.66. Trajectory analyses and radioisotope measurements (Be-7, Be-10, Pb-210, and Rn-222) indicated that the upper troposphere or stratosphere was the main source region of the observed NOy with a negligible contribution of ground-level sources at northward continents. Frequent maxima of NOy mixing ratios up to 100 pptv are generally associated with air mass transport from the free troposphere of continental Antarctica, while air masses with the lowest NOy mixing ratios were typically advected from the marine boundary layer.</t>
  </si>
  <si>
    <t>Alfred Wegener Inst Polar &amp; Marine Res, D-27570 Bremerhaven, Germany; British Antarctic Survey, NERC, Cambridge CB3 0ET, England; Metrohm AG, CH-9101 Herisau, Switzerland; Univ E Anglia, Sch Environm Sci, Norwich NR4 7TJ, Norfolk, England; Univ Heidelberg, Inst Umweltphys, D-69120 Heidelberg, Germany</t>
  </si>
  <si>
    <t>Helmholtz Association; Alfred Wegener Institute, Helmholtz Centre for Polar &amp; Marine Research; UK Research &amp; Innovation (UKRI); Natural Environment Research Council (NERC); NERC British Antarctic Survey; University of East Anglia; Ruprecht Karls University Heidelberg</t>
  </si>
  <si>
    <t>Weller, R (corresponding author), Alfred Wegener Inst Polar &amp; Marine Res, D-27570 Bremerhaven, Germany.</t>
  </si>
  <si>
    <t>rweller@awi-bremerhaven.de</t>
  </si>
  <si>
    <t>10.1029/2002JD002495</t>
  </si>
  <si>
    <t>WOS:000181054600012</t>
  </si>
  <si>
    <t>Abel, GA; Fazakerley, AN; Johnstone, AD</t>
  </si>
  <si>
    <t>Simultaneous acceleration and pitch angle scattering of field-aligned electrons observed by the LEPA on CRRES</t>
  </si>
  <si>
    <t>substorms; pitch angle distributions; pitch angle scattering; particle acceleration; electron; wave particle interaction</t>
  </si>
  <si>
    <t>MAGNETOSPHERE; DISTRIBUTIONS; BEAMS; INJECTIONS; DIFFUSION; SATELLITE; WAVES; ORBIT</t>
  </si>
  <si>
    <t>[1] Using data from the Low Energy Plasma Analyzer we present detailed pitch angle versus energy electron distributions at the time of field-aligned electron events. We present three case studies, as well as the findings of a larger survey of 158 events. These distributions show that electrons are apparently scattered in pitch angle out of field-aligned electron beams observed around 0.1-1 keV. Generally, this pitch angle scattering is accompanied by simultaneous acceleration. As electrons are scattered from the field-aligned beam to pitch angles of similar to60degrees, they typically increase to energies of around 10 keV. The electrons are then seen to scatter to 90degrees pitch angle with no further change in energy. The observations suggest that this scattering and acceleration takes place near the geomagnetic equator and over a limited range of latitudes.</t>
  </si>
  <si>
    <t>UCL, Mullard Space Sci Lab, Dorking RH5 6NT, Surrey, England</t>
  </si>
  <si>
    <t>University of London; University College London</t>
  </si>
  <si>
    <t>gaab@bas.ac.uk; anf@mssl.ucl.ac.uk</t>
  </si>
  <si>
    <t>Abel, Gary/ABE-1765-2021</t>
  </si>
  <si>
    <t>Abel, Gary/0000-0003-2231-5161</t>
  </si>
  <si>
    <t>10.1029/2001JA005090</t>
  </si>
  <si>
    <t>646FZ</t>
  </si>
  <si>
    <t>WOS:000181026100001</t>
  </si>
  <si>
    <t>Innis, JL; Conde, M</t>
  </si>
  <si>
    <t>Characterization of acoustic-gravity waves in the upper thermosphere using Dynamics Explorer 2 Wind and Temperature Spectrometer (WATS) and Neutral Atmosphere Composition Spectrometer (NACS) data</t>
  </si>
  <si>
    <t>acoustic-gravity waves; high-latitude thermosphere</t>
  </si>
  <si>
    <t>SOUTHERN POLAR-CAP; PHOTOMETRIC-OBSERVATIONS</t>
  </si>
  <si>
    <t>[1] Data obtained by the Neutral Atmosphere Composition Spectrometer (NACS) and the Wind and Temperature Spectrometer (WATS) instruments on Dynamics Explorer 2 (DE 2) show examples of large wave-like events in composition, vertical wind, and temperature, particularly (perhaps almost exclusively) at high geomagnetic latitudes. These events are believed to arise due to atmospheric gravity waves (AGWs). If so, the various perturbation quantities of mass density, pressure, temperature, horizontal wind, and vertical wind should be related in a manner consistent with the AGW theory. An analysis of a subset of the WATS (vertical and horizontal wind and temperature) and NACS data (number density and, hence, mass density) and pressure (as a derived quantity, from number density and temperature) was performed to investigate whether such perturbations could be clearly shown to be due to AGWs by comparing quantitatively the various simultaneous data sets with AGW theory. Seven examples of wave-like events in the vertical wind were studied, together with the accompanying variations in mass density, pressure, temperature, and horizontal wind. The pressure (acoustic) component of the density variation was calculated and then subtracted from the total density variation, allowing the wave-induced vertical displacement amplitude to be found. This was compared to the vertical wind amplitude, via a spectral analysis, to yield estimates of the possible AGW frequency. The observed variation in the ratio of O/N-2 number densities during the course of the oscillations was found to be consistent with the calculated altitude displacements. Phase lags in the number density perturbations between different species also appeared consistent with the AGW theory. Horizontal velocity perturbations in phase with the pressure perturbations were also seen. It is concluded that the oscillations are consistent with acoustic-gravity waves, where the pressure perturbation is nonnegligible. Phase relationships between the various observables can define the direction of wave travel to within 90 of azimuth, relative to the direction of spacecraft motion. For the seven cases detailed here, the derived (intrinsic) wave frequencies are close to, but slightly less than, the estimated local Brunt-Vaisala frequency, while the vertical displacement amplitudes were typically around +/-25 km. All of the wave events studied in this work were located at high latitudes, poleward of the nominal location of the auroral oval.</t>
  </si>
  <si>
    <t>Univ Alaska, Inst Geophys, Fairbanks, AK USA</t>
  </si>
  <si>
    <t>University of Alaska System; University of Alaska Fairbanks</t>
  </si>
  <si>
    <t>john.innis@gi.alaska.edu; mark.conde@gi.alaska.edu</t>
  </si>
  <si>
    <t>10.1029/2002JA009370</t>
  </si>
  <si>
    <t>WOS:000181026100003</t>
  </si>
  <si>
    <t>Planchon, FAM; Boutron, CF; Barbante, C; Cozzi, G; Gaspari, V; Wolff, EW; Ferrari, CP; Cescon, P</t>
  </si>
  <si>
    <t>Short-term variations in the occurrence of heavy metals in Antarctic snow from Coats Land since the 1920s</t>
  </si>
  <si>
    <t>SCIENCE OF THE TOTAL ENVIRONMENT</t>
  </si>
  <si>
    <t>heavy metals; snow; Antarctica; short-term variations; natural and anthropogenic sources; volcanism</t>
  </si>
  <si>
    <t>LEAD CONCENTRATION; ICE CORES; POLAR ICE; CADMIUM; RECORD; ZINC; EMISSIONS; VOLCANO; MERCURY; COPPER</t>
  </si>
  <si>
    <t>Short-term variations in heavy metals concentrations in Antarctic snow have been investigated by analysing 13 metals (Al, V, Cr, Mn, Co, Cu, Zn, Ag, Cd, Ba, Pb, Bi and U) in a series of ultraclean samples collected from two snow pits in Coats Land in the Atlantic sector of Antarctica. The samples covered a similar to70 years time period from the 1920s to 1990. They were analysed by inductively coupled plasma sector field mass spectrometry and graphite furnace atomic absorption spectrometry. The results conclusively show that there is a pronounced short-term (intra and inter-annual) variability of heavy metal in Antarctic snow, with the highest concentrations being up to 100 times higher than the lowest ones for metal such as Cr, Mn, Pb and U. Contributions from the different possible natural and anthropogenic sources are found to be extremely variable. This is especially due to the large variability in the transport patterns of heavy metals from Southern America, Southern Africa and Australia to the Antarctic continent. Inputs from several volcanic events were identified in our samples from non-seasalt sulfate concentrations profiles. The only ones that gave clear signals for heavy metals were eruptions at Deception Island the proximity of which allowed for tropospheric transport to Coats Land. (C) 2002 Elsevier Science B.V. All rights reserved.</t>
  </si>
  <si>
    <t>Univ Venice, Dept Environm Sci, I-30123 Venice, Italy; CNRS, Lab Glaciol &amp; Geophys Environm, F-38402 St Martin Dheres, France; Univ Grenoble 1, Inst Univ France, Observat Sci Lunivers, F-38041 Grenoble, France; Univ Venice, Dept Environm Sci, I-30123 Venice, Italy; Univ Venice, CNR, Inst Dynam Environm Proc, I-30123 Venice, Italy; British Antarctic Survey, Cambridge CB3 0ET, England; Univ Grenoble 1, Inst Sci &amp; Technol, F-38041 Grenoble, France; Univ Grenoble 1, Inst Univ France, Unite Format, F-38041 Grenoble, France</t>
  </si>
  <si>
    <t>Universita Ca Foscari Venezia; Centre National de la Recherche Scientifique (CNRS); Communaute Universite Grenoble Alpes; Universite Grenoble Alpes (UGA); Institut Universitaire de France; Universita Ca Foscari Venezia; Universita Ca Foscari Venezia; Consiglio Nazionale delle Ricerche (CNR); Istituto per la Dinamica dei Processi Ambientali (IDPA-CNR); UK Research &amp; Innovation (UKRI); Natural Environment Research Council (NERC); NERC British Antarctic Survey; Communaute Universite Grenoble Alpes; Universite Grenoble Alpes (UGA); Communaute Universite Grenoble Alpes; Universite Grenoble Alpes (UGA); Institut Universitaire de France</t>
  </si>
  <si>
    <t>Univ Venice, Dept Environm Sci, Ca Foscari, I-30123 Venice, Italy.</t>
  </si>
  <si>
    <t>barbante@unive.it</t>
  </si>
  <si>
    <t>Cozzi, Giulio/R-4554-2019; Barbante, Carlo/B-3195-2011; Frederic, Planchon A.M./A-8651-2010; Cozzi, Giulio/F-6473-2010; Wolff, Eric W/D-7925-2014</t>
  </si>
  <si>
    <t>Cozzi, Giulio/0000-0001-8796-4176; Wolff, Eric W/0000-0002-5914-8531; Planchon, Frederic/0000-0003-1288-9698; Cescon, Paolo/0000-0003-1836-6759; Barbante, Carlo/0000-0003-4177-2288</t>
  </si>
  <si>
    <t>0048-9697</t>
  </si>
  <si>
    <t>1879-1026</t>
  </si>
  <si>
    <t>SCI TOTAL ENVIRON</t>
  </si>
  <si>
    <t>Sci. Total Environ.</t>
  </si>
  <si>
    <t>DEC 2</t>
  </si>
  <si>
    <t>1-3</t>
  </si>
  <si>
    <t>PII S0048-9697(02)00277-2</t>
  </si>
  <si>
    <t>10.1016/S0048-9697(02)00277-2</t>
  </si>
  <si>
    <t>628PC</t>
  </si>
  <si>
    <t>WOS:000180003900012</t>
  </si>
  <si>
    <t>Farías, S; Arisnabarreta, SP; Vodopivez, C; Smichowski, P</t>
  </si>
  <si>
    <t>Levels of essential and potentially toxic trace metals in Antarctic macro algae</t>
  </si>
  <si>
    <t>SPECTROCHIMICA ACTA PART B-ATOMIC SPECTROSCOPY</t>
  </si>
  <si>
    <t>7th Rio Symposium on Atomic Spectrometry</t>
  </si>
  <si>
    <t>APR 07-12, 2002</t>
  </si>
  <si>
    <t>FLORIANOPOLIS, BRAZIL</t>
  </si>
  <si>
    <t>macro algae; Antarctica; trace elements; microwave digestion; inductively coupled plasma optical emission; spectrometry</t>
  </si>
  <si>
    <t>FRESH-WATER ALGAE; CADMIUM</t>
  </si>
  <si>
    <t>Eleven species of Antarctic algae were examined for their accumulation ability in the uptake of different metals and metalloids from the Antarctic aquatic environment. Macro algae were collected during the 2000 austral summer season at Jubany Station (Argentinean base) around Potter Cove, King George Island. The elements quantified were: As, Cd, Co, Cr, Cu, Fe, Mn, Mo, Ni, Ph, Se, Sr, V, and Zn. An optimized microwave-assisted digestion procedure was used to digest the samples and the elements were determined by inductively coupled plasma optical emission spectrometry. A wide range of metal retention capacity among the different species was observed. The highest levels of trace elements were found in Monostroma hariotii and Phaeurus antarcticus, with concentrations up to 3095 mug g(-1) for Fe. On the basis of the levels of trace elements observed in Monostroma hariotii and its wide distribution in the Antarctic Peninsula, this organism accomplishes a number of prerequisites to be considered as an adequate biomonitor for future studies. (C) 2002 Elsevier Science B.V. All rights reserved.</t>
  </si>
  <si>
    <t>Comis Nacl Energia Atom, Unidad Actividad Quim, Ctr Atom Constituyentes, RA-1650 Buenos Aires, DF, Argentina; Inst Antartico Argentino, RA-1010 Buenos Aires, DF, Argentina; Comis Nacl Energia Atom, UPESN, Ctr Atom Ezeiza, RA-1429 Buenos Aires, DF, Argentina</t>
  </si>
  <si>
    <t>Comision Nacional de Energia Atomica (CNEA); Instituto Antartico Argentino; Comision Nacional de Energia Atomica (CNEA)</t>
  </si>
  <si>
    <t>Smichowski, P (corresponding author), Comis Nacl Energia Atom, Unidad Actividad Quim, Ctr Atom Constituyentes, Av Gral Paz 1499, RA-1650 Buenos Aires, DF, Argentina.</t>
  </si>
  <si>
    <t>0584-8547</t>
  </si>
  <si>
    <t>SPECTROCHIM ACTA B</t>
  </si>
  <si>
    <t>Spectroc. Acta Pt. B-Atom. Spectr.</t>
  </si>
  <si>
    <t>PII S0584-8547(02)00183-0</t>
  </si>
  <si>
    <t>10.1016/S0584-8547(02)00183-0</t>
  </si>
  <si>
    <t>Spectroscopy</t>
  </si>
  <si>
    <t>632CT</t>
  </si>
  <si>
    <t>WOS:000180206700028</t>
  </si>
  <si>
    <t>Rocka, A</t>
  </si>
  <si>
    <t>Nematodes of fishes in the Weddell Sea (Antarctic)</t>
  </si>
  <si>
    <t>ACTA PARASITOLOGICA</t>
  </si>
  <si>
    <t>Ascarophis; Capillaria; Cystidicola; Paranisakiopsis; Nematoda; fish; Antarctic</t>
  </si>
  <si>
    <t>PARASITIC NEMATODE</t>
  </si>
  <si>
    <t>Four nematode species are reported from bony fishes caught in the Weddell Sea. Two species of cystidicolids, Cystidicola beatriceinsleyae (Holloway et Klewer, 1969) and Ascarophis nototheniae Johnston et Mawson, 1945, were found in Lycodichthys antarcticus Pappenheim, 1911, whereas one capillariid, Capillaria (Procapillaria) sp., and one anisakid, Paranisakiopsis weddelliensis sp. nov., in Macrourus whitsoni Regan, 1913. Capillaria (Procapillaria) sp. (only females were found) is characterised by: body 17.6-26.0 mm long; stichosome composed of 46-49 stichocytes; presence of a vulvar appendage, and eggs 77-82 x 37-42 mum. This is the first Capillaria species reported from fishes in the Antarctic. Paranisakiopsis weddelliensis sp. nov. is characterised by: body length of male and female 40-48 and 55-62 mm, respectively; lips Lip to 200 pm and interlabia LIP to 140 mum long;, inconspicuous dentigerous ridge on each lip; 8-10 pairs of preanal and 4 pairs of postanal papillae; spicules equal or subequal, 420-620 mum; eggs 83-85 x 63-65 mum. P weddelliensis is the first representative of this genus reported from the Antarctic.</t>
  </si>
  <si>
    <t>Polish Acad Sci, W Stefanski Inst Parasitol, PL-00818 Warsaw, Poland</t>
  </si>
  <si>
    <t>Rocka, A (corresponding author), Polish Acad Sci, W Stefanski Inst Parasitol, 51-55 Twarda St, PL-00818 Warsaw, Poland.</t>
  </si>
  <si>
    <t>WITOLD STEFANSKI INST PARASITOLOGY</t>
  </si>
  <si>
    <t>WARSAW</t>
  </si>
  <si>
    <t>TWARDA 51/55, 00-818 WARSAW, POLAND</t>
  </si>
  <si>
    <t>1230-2821</t>
  </si>
  <si>
    <t>ACTA PARASITOL</t>
  </si>
  <si>
    <t>Acta Parasitolog.</t>
  </si>
  <si>
    <t>DEC</t>
  </si>
  <si>
    <t>Parasitology; Veterinary Sciences; Zoology</t>
  </si>
  <si>
    <t>634XN</t>
  </si>
  <si>
    <t>WOS:000180367900005</t>
  </si>
  <si>
    <t>Zdzitowiecki, K</t>
  </si>
  <si>
    <t>Occurrence of Digenea in fishes of the family Artedidraconidae in the Weddell Sea and other areas of Antarctica</t>
  </si>
  <si>
    <t>Digenea; diversity; fishes; Artedidraconidae; Weddell Sea; Antarctica</t>
  </si>
  <si>
    <t>PARASITES</t>
  </si>
  <si>
    <t>Six of seven fish species of Artedidraconidae caught in the Weddell Sea were infected with Digenea. Prevalence of infection was relatively high, 18-71%, but intensities were very low, never exceeding four digeneans. In all, 10 digenean species were found: Macvicaria microtestis, Stenakron glacialis, Lepidapedon garrardi, Neolepidapedon trematomi, Steringophorus arntzi, Genolinea bowersi, Derogenes johnstoni, Elytrophalloides oatesi, Glomericirrus macrouri, and Otodistomum cestoides (metacercaria). None of these species was specific for Artedidraconidae. According to literature data, the total number of digeneans of Artedidraconidae is 14 species, of which 12 have been identified, including the 10 listed above, Neolebouria terranovaensis and Lecithaster macrocotyle; two (possibly specific for Artedidraconidae) are undetermined yet. The low diversity of digenean species in areas other than the Weddell Sea (three species in each of three areas) is probably the result of limited data available so far. Knowledge of the digenean fauna of Artedidraconidae is much less complete than that of three other notothenioid families, Nototheniidae, Channichthyidae and Bathydraconidae.</t>
  </si>
  <si>
    <t>Polish Acad Sci, W Stefanski Inst Parasitol, PL-00818 Warsaw, Poland; Polish Acad Sci, Dept Antarctic Biol, PL-02141 Warsaw, Poland</t>
  </si>
  <si>
    <t>Polish Academy of Sciences; Polish Academy of Sciences</t>
  </si>
  <si>
    <t>Zdzitowiecki, K (corresponding author), Polish Acad Sci, W Stefanski Inst Parasitol, 51-55 Twarda St, PL-00818 Warsaw, Poland.</t>
  </si>
  <si>
    <t>WOS:000180367900007</t>
  </si>
  <si>
    <t>Occurrence of Digenea in fishes of the family Bathydraconidae in the Weddell Sea and other areas of Antarctica</t>
  </si>
  <si>
    <t>Digenea; diversity; fishes; Bathydraconidae; Weddell Sea; Antarctica</t>
  </si>
  <si>
    <t>SOUTH-SHETLAND ISLANDS; PARASITES</t>
  </si>
  <si>
    <t>Four digenean species, Stenakron glacialis, Lepidapedon garrardi, Steringophorus arntzi and Otodistomum cestoides (metacercariae) were recorded in three of four bathydraconid species (59 specimens) examined in the Weddell Sea. The only previously reported species, Elytrophalloides oatesi, was found there only in other hosts. The total number of digenean species known as occurring in Bathydraconidae in Antarctica increased to 13. They were recorded in eight of ten host species examined. However, only a few specimens of most of bathydraconid species were investigated. Most of digenean species are more abundant in other fishes, especially in Nototheniidae and Channichthyidae. S. arntzi and S. glacialis normally occur in Bathydraco marri and Racovitzia glacialis respectively, but they were occasionally found also in Artedidraconidae; the latter was reported also from a liparidid. Intensities of infections are usually low, except in three large predatory species, Parachaenichthys charcoti, P georgianus and Cygnodraco mawsoni, which can be parasitized by about 100 or more digeneans in some single hosts.</t>
  </si>
  <si>
    <t>WOS:000180367900008</t>
  </si>
  <si>
    <t>Salwicka, K; Rakusa-Suszczewski, S</t>
  </si>
  <si>
    <t>Long-term monitoring of Antarctic pinnipeds in Admiralty Bay (South Shetlands, Antarctica)</t>
  </si>
  <si>
    <t>ACTA THERIOLOGICA</t>
  </si>
  <si>
    <t>pinnipeds; population dynamics; Antarctica; South Shetlands; monitoring</t>
  </si>
  <si>
    <t>SEALS ARCTOCEPHALUS-GAZELLA; FUR SEALS; ISLAND; FLUCTUATIONS; PENINSULA; GEORGIA; ECOLOGY; KRILL; ICE</t>
  </si>
  <si>
    <t>Year-round monitoring of five Antarctic pinnipeds was conducted in Admiralty Bay from 1988 up to 2000. Two breeding species: southern elephant seals Mirounga leonina (Linnaeus, 1758) and Weddell seals Leptonychotes weddellii (Lesson, 1826), were present throughout the year, Three other species: crabeater seals Lobodon carcinophagus (Hobron and Jacquinot, 1842), leopard seals Hydrurga leptonyx (Blainville, 1820), and Antarctic fur seals Arctocephalus gazella (Peters, 1875) visited the area only for short periods. During this study, the abundance of elephant seals was stable, whereas those of Weddell and crabeater seals declined. Leopard seals numbers fluctuated irregularly. We detected a possible immigration from South Georgia: of a stable magnitude for elephant seals, and of variable magnitude, depending on food accessibility, for Antarctic fur seals. We found a strong recurrence of the spatial distributions of elephant, Weddell, and Antarctic fur seals in the 13 oases on the shore of Admiralty Bay. Annual distribution patterns were characteristic for each species. The innermost beaches were used predominantly by the animals during their annual fasts: the breeding and the moulting seasons.</t>
  </si>
  <si>
    <t>Polish Acad Sci, Dept Antarctic Biol, PL-02141 Warsaw, Poland</t>
  </si>
  <si>
    <t>Salwicka, K (corresponding author), Polish Acad Sci, Dept Antarctic Biol, Ustrzycka 10,12, PL-02141 Warsaw, Poland.</t>
  </si>
  <si>
    <t>POLISH ACAD SCIENCES</t>
  </si>
  <si>
    <t>BIALOWIEZA</t>
  </si>
  <si>
    <t>MAMMAL RESEARCH INST, 17-230 BIALOWIEZA, POLAND</t>
  </si>
  <si>
    <t>0001-7051</t>
  </si>
  <si>
    <t>ACTA THERIOL</t>
  </si>
  <si>
    <t>Acta Theriol.</t>
  </si>
  <si>
    <t>10.1007/BF03192469</t>
  </si>
  <si>
    <t>629KX</t>
  </si>
  <si>
    <t>WOS:000180049800007</t>
  </si>
  <si>
    <t>Barnes, DKA; Bell, JJ</t>
  </si>
  <si>
    <t>Coastal sponge communities of the West Indian Ocean: taxonomic affinities, richness and diversity</t>
  </si>
  <si>
    <t>AFRICAN JOURNAL OF ECOLOGY</t>
  </si>
  <si>
    <t>sponge; diversity richness; zonation; Madagascar; Mozambique</t>
  </si>
  <si>
    <t>PATTERNS; BIODIVERSITY; GRAPSIDAE; DECAPODA</t>
  </si>
  <si>
    <t>Sponges assemblages were sampled in four coastal study regions (Malindi, Kenya; Quirimba Archipelago, northern Mozambique; Inhaca Island, Southern Mozambique and Anakao, Madagascar) in the west Indian Ocean. Sponge species were counted in multiple 0.5 m(-2) quadrats at depths of between 0 and 20 m at a number of sites within localities within each region. Despite the relatively small areas sampled, sponge samples comprised a total of 130 species and 70 genera of the classes Demospongiae and Calcarea. Sponges are clearly a major taxon in these regions in terms of numbers of species, percentage cover or biomass, although their ecology in the west Indian Ocean is virtually unknown. Nearly half of the genera, e. g. Iotrochota, found were species with a so-called Tethyan distribution. Most of the other genera were cosmopolitan, e.g. Clathria, but some were cold water (Coelosphaera), Indo-Australian (Ianthella) or circum-African (Crambe). Many of the species encountered in the present study occurred in at least two study regions, many in more and could occupy large areas of substratum. Some of these, e. g. Xestospongia exigua, are commonly found throughout the Indo-west Pacific region where they also occupy much space. The endemicity of the shallow water sponge faunas in East Africa (20-25%) seem to be high within the Indo-Pacific realm but are lower than northern Papua New Guinea. The tropical regions (Kenya and Northern Mozambique) were more speciose than subtropical regions (southern Mozambique and Madagascar) but not significantly more diverse (Shannon H 0). Although latitude was not a major influence on sponge community patterns, hard substratum assemblages did form a cline from the tropics to Southern Mozambique, linked by Madagascar. Substratum nature (habitat) was most important in influencing the suite and number of species present. Sponge assemblages of soft substrata were much more dissimilar, both within and between habitats, than those on hard substrata. There was a predictable variability in species richness between hard substratum habitats: coral reefs being speciose and caves being less so. Our findings showed that both patterns and influences on species richness may be decoupled from those influencing diversity. In our data species richness, but not diversity, showed striking regional and bathymetric trends. In addition, sponge species richness mainly split at coral reef vs. non-reef habitats, whilst diversity divided principally into assemblages on hard and soft substrata. We consider this dichotomy of findings between species richness and diversity values to be important, as these are two principal measures used for the interpretation of biodiversity.</t>
  </si>
  <si>
    <t>Natl Univ Ireland Univ Coll Cork, Dept Zool &amp; Anim Ecol, Cork, Ireland; Soc Environm Explorat, FRONTIER, London EC2A 3QP, England; Univ Glamorgan, Sch Appl Sci, Pontypridd CF37 1DL, M Glam, Wales</t>
  </si>
  <si>
    <t>University College Cork; University of South Wales</t>
  </si>
  <si>
    <t>British Antarctic Survey, NERC, Div Biol Sci, High Cross,Madinglrey Rd, Cambridge CB3 0ET, England.</t>
  </si>
  <si>
    <t>Bell, James/0000-0001-9996-945X</t>
  </si>
  <si>
    <t>0141-6707</t>
  </si>
  <si>
    <t>1365-2028</t>
  </si>
  <si>
    <t>AFR J ECOL</t>
  </si>
  <si>
    <t>Afr. J. Ecol.</t>
  </si>
  <si>
    <t>10.1046/j.1365-2028.2002.00387.x</t>
  </si>
  <si>
    <t>Ecology</t>
  </si>
  <si>
    <t>612HN</t>
  </si>
  <si>
    <t>WOS:000179068500004</t>
  </si>
  <si>
    <t>Coastal sponge communities of the West Indian Ocean: morphological richness and diversity</t>
  </si>
  <si>
    <t>diversity; Madagascar; Mozambique; Porifera; subtidal; zonation</t>
  </si>
  <si>
    <t>POPULATION-DYNAMICS; CORAL-REEF; GROWTH; DEMOSPONGIAE; ENVIRONMENT; PORIFERA; SEA</t>
  </si>
  <si>
    <t>Sponges are a reasonably ubiquitous, abundant and highly morphologically plastic taxon. They are very unusual in showing considerable morphological plasticity, not only within higher taxa but within species and at macro and micro scales. In this study we determined the prevalence of sponge morphologies at four coastal study regions in the west Indian Ocean. We show that tropical and subtropical assemblages (in the present study) can be separated on the basis of morphological composition alone (by &gt; 4% arborescent forms or presence of palmate forms in the former). Inter-tidal sponge assemblages can also be separated from those in the subtidal to a high degree of certainty, also on prevalence of morphologies (absence of tubular or branching forms in the former). The species diversity of many sponge assemblages has been quantified in various environments but, typically, only by specialists. Rarely have equivalent measures been made of morphological diversity. Values of morphological diversity (Shannon H') were similar, though more variable, to those measured in temperate waters. Substratum nature had a major influence on morphological diversity and evenness, in contrast to geography and bathymetry. As coral reefs were the most diverse and caves and boulders the least, we suggest that substratum heterogeneity and water-flow complexity are probably the chief determinant of sponge assemblage morphological diversity.</t>
  </si>
  <si>
    <t>Barnes, DKA (corresponding author), British Antarctic Survey, NERC, Div Biol Sci, High Cross,Madingley Rd, Cambridge CB3 0ET, England.</t>
  </si>
  <si>
    <t>10.1046/j.1365-2028.2002.00388.x</t>
  </si>
  <si>
    <t>WOS:000179068500005</t>
  </si>
  <si>
    <t>Greet, PA; Innis, JL; Dyson, PL</t>
  </si>
  <si>
    <t>Thermospheric vertical winds in the auroral oval/polar cap region</t>
  </si>
  <si>
    <t>ANNALES GEOPHYSICAE</t>
  </si>
  <si>
    <t>meteorology and atmospheric dynamics thermospheric dynamics</t>
  </si>
  <si>
    <t>FABRY-PEROT SPECTROMETER; SOUTHERN POLAR-CAP; F-REGION; ANTARCTICA; MAWSON; BOUNDARY; DYNAMICS; FIELD; MOTIONS; DAVIS</t>
  </si>
  <si>
    <t>Thermospheric mean vertical winds from high-resolution Fabry-Perot Spectrometer observations of the; gamma630 nm emission (from similar to240km altitude), over a four year interval 1997-2000, from Mawson (67.6degrees S, 62.9degrees E, Inv 70.5degrees S) and Davis (68.6degrees S, 78.0degrees E, Inv 74.6degrees S) are presented. Combining the four years of data shows Mawson mean hourly vertical winds vary between -10ms(-1) and +4 ms(-1), while Davis mean hourly vertical winds vary between -10ms(-1) and +10 ms(-1). Mean hourly vertical winds from Mawson show little change with K-P, while at Davis the range of variation increases with increasing geomagnetic activity. Histograms of frequency distributions of such winds, and their variations with K-p and lambda630 nm emission intensity, are presented and discussed. Variations in mean hourly thermospheric winds and lambda630 nm emission intensities show at least three significant associations between mean vertical winds and the auroral oval. Mean vertical winds within the auroral oval are smaller than those outside the oval, particularly those in the polar cap. A downward wind associated with entry of the observing region into the auroral oval can be seen in both Mawson and Davis hourly mean vertical winds. Large vertical winds are seen poleward of the auroral oval/polar cap boundary, most significantly upward winds occur within +/-2 hr of magnetic midnight. Under moderately quiet geomagnetic conditions Davis passes through the auroral oval into the polar cap in the evening, but at higher K-P it passes into the polar cap earlier and larger, and more sustained mean vertical winds are observed.</t>
  </si>
  <si>
    <t>Australian Antarctic Div, Kingston, Tas 7050, Australia; Univ Alaska, Inst Geophys, Fairbanks, AK 99701 USA; La Trobe Univ, Dept Phys, Bundoora, Vic 3086, Australia</t>
  </si>
  <si>
    <t>Australian Antarctic Division; University of Alaska System; University of Alaska Fairbanks; La Trobe University</t>
  </si>
  <si>
    <t>Greet, PA (corresponding author), Australian Antarctic Div, Channel Highway, Kingston, Tas 7050, Australia.</t>
  </si>
  <si>
    <t>EUROPEAN GEOPHYSICAL SOC</t>
  </si>
  <si>
    <t>KATLENBURG-LINDAU</t>
  </si>
  <si>
    <t>MAX-PLANCK-STR 13, 37191 KATLENBURG-LINDAU, GERMANY</t>
  </si>
  <si>
    <t>0992-7689</t>
  </si>
  <si>
    <t>ANN GEOPHYS-GERMANY</t>
  </si>
  <si>
    <t>Ann. Geophys.</t>
  </si>
  <si>
    <t>10.5194/angeo-20-1987-2002</t>
  </si>
  <si>
    <t>Astronomy &amp; Astrophysics; Geosciences, Multidisciplinary; Meteorology &amp; Atmospheric Sciences</t>
  </si>
  <si>
    <t>Astronomy &amp; Astrophysics; Geology; Meteorology &amp; Atmospheric Sciences</t>
  </si>
  <si>
    <t>637UU</t>
  </si>
  <si>
    <t>Green Submitted, gold</t>
  </si>
  <si>
    <t>WOS:000180532800009</t>
  </si>
  <si>
    <t>Priscu, J</t>
  </si>
  <si>
    <t>Subglacial lakes have changed our view of Antarctica</t>
  </si>
  <si>
    <t>Montana State Univ, Bozeman, MT 59717 USA</t>
  </si>
  <si>
    <t>Priscu, J (corresponding author), Montana State Univ, Bozeman, MT 59717 USA.</t>
  </si>
  <si>
    <t>650HU</t>
  </si>
  <si>
    <t>WOS:000181258200001</t>
  </si>
  <si>
    <t>Barrera-Oro, E</t>
  </si>
  <si>
    <t>The role of fish in the Antarctic marine food web: differences between inshore and offshore waters in the southern Scotia Arc and west Antarctic Peninsula</t>
  </si>
  <si>
    <t>diet; ecosystem; krill; Notothenioidei; predators</t>
  </si>
  <si>
    <t>SEALS ARCTOCEPHALUS-GAZELLA; PENGUINS PYGOSCELIS-PAPUA; KING-GEORGE-ISLAND; BLUE-EYED SHAG; PHALACROCORAX-ATRICEPS-BRANSFIELDENSIS; ICEFISH CHAMPSOCEPHALUS-GUNNARI; TERRA-NOVA BAY; SHETLAND-ISLANDS; FUR SEALS; WEDDELL SEALS</t>
  </si>
  <si>
    <t>The role of fish in the Antarctic food web in inshore and offshore waters is analysed, taking as an example the coastal marine communities of the southern Scotia Arc (South Orkney Islands and South Shetland Islands) and the west Antarctic Peninsula. Inshore, the ecological role of demersal fish is more important than that of krill. There, demersal fish are major consumers of benthos and also feed on zooplankton (mainly krill in summer). They are links between lower and upper levels of the food web and are common prey of other fish, birds and seats. Offshore, demersal fish depend less on benthos and feed more on zooplankton (mainly krill) and nekton, and are less accessible as prey of birds and seals. There, pelagic fish (especially lantern fish) are more abundant than inshore and play an important role in the energy flow from macrozooplankton to higher trophic levels (seabirds and seals). Through the higher fish predators, energy is transferred to land in the form of fish remains, pellets (birds), regurgitation and faeces (birds and seals). However, in the general context of the Antarctic marine ecosystem, krill (Euphausia superba) plays the central role in the food web because it is the main food source in terms of biomass for most of the high level predators from demersal fish up to whales. This has no obvious equivalent in other marine ecosystems. In Antarctic offshore coastal and oceanic waters the greatest proportion of energy from the ecosystem is transferred to land directly through krill consumers, such as flying birds, penguins, and seals. Beside krill, the populations of fish in the Antarctic Ocean are the second most important element for higher predators, in particular the energy-rich pelagic Myctophidae in open waters and the pelagic Antarctic silver fish (Pleuragramma antarcticum) in the high Antarctic zone. Although the occurrence of these pelagic fish inshore has been poorly documented, their abundance in neritic waters could be higher than previously believed.</t>
  </si>
  <si>
    <t>Inst Antartico Argentino, RA-1010 Buenos Aires, DF, Argentina; Museo Argentino Ciencias Nat Bernardino Rivadavia, Div Ictiol, RA-1405 Buenos Aires, DF, Argentina</t>
  </si>
  <si>
    <t>Instituto Antartico Argentino; Museo Argentino de Ciencias Naturales Bernardino Rivadavia (MACN)</t>
  </si>
  <si>
    <t>Barrera-Oro, E (corresponding author), Inst Antartico Argentino, Cerrito 1248, RA-1010 Buenos Aires, DF, Argentina.</t>
  </si>
  <si>
    <t>10.1017/S0954102002000111</t>
  </si>
  <si>
    <t>WOS:000181258200002</t>
  </si>
  <si>
    <t>Tafforin, C</t>
  </si>
  <si>
    <t>Ethological observations on a small group of wintering members at Dumont d'Urville station (Terre Adelie)</t>
  </si>
  <si>
    <t>Antarctic; behaviour; human; interpersonal relationships; isolation effects; social group</t>
  </si>
  <si>
    <t>SPACE MISSIONS; PERFORMANCE; ADAPTATION</t>
  </si>
  <si>
    <t>The goal of this study was to demonstrate the role of isolation on the social behaviour of individuals and to characterize its adaptation as a function of time. The ethological method used was a quantitative description of the spatial positioning of a sub-group of 13 wintering members during the morning, midday and evening meals at Dumont d'Urville station. The observation protocol required the completion of first daily and then weekly (every Thursday) observation maps at different stages of the 13 month long polar mission, from the information seminar in France, the trips outward and return aboard the Astrolabe, the two summer campaigns at the beginning and at the end of the mission and the overwintering period. Results, mainly expressed as human concentration and spatial dispersion indexes, have successively shown organization, disorganization and reorganization periods of the small group without any significant cycling. Socialisation rules promoting the group building in the early period, conflict factors and relay steps (external perturbations breaking the isolation, transitions during group displacement from one stage to another) promoting the maintenance of the social cohesion, are outlined in the discussion.</t>
  </si>
  <si>
    <t>ETHOSPACE, F-31000 Toulouse, France</t>
  </si>
  <si>
    <t>Tafforin, C (corresponding author), ETHOSPACE, 13 Rue Alsace Lorraine, F-31000 Toulouse, France.</t>
  </si>
  <si>
    <t>10.1017/S0954102002000147</t>
  </si>
  <si>
    <t>WOS:000181258200003</t>
  </si>
  <si>
    <t>Balks, MR; Paetzold, RF; Kimble, JM; Aislabie, J; Campbell, IB</t>
  </si>
  <si>
    <t>Effects of hydrocarbon spills on the temperature and moisture regimes of Cryosols in the Ross Sea region</t>
  </si>
  <si>
    <t>Antarctica; fuel; human impacts; oil; permafrost; soil</t>
  </si>
  <si>
    <t>MARINE-ENVIRONMENT; ANTARCTICA; SOILS; CONTAMINATION; PERMAFROST; SEDIMENTS; STATION; DESERT; HILLS</t>
  </si>
  <si>
    <t>Hydrocarbon spills have occurred on Antarctic soils where fuel oils are utilized, moved or stored. We investigated the effects of hydrocarbon spills on soil temperature and moisture regimes by comparing the properties of existing oil contaminated sites with those of nearby, uncontaminated, control sites at Scott Base, the old Marble Point camp, and Bull Pass in the Wright Valley. Hydrocarbon levels were elevated in fuel-contaminated samples. Climate stations were installed at all three locations in both contaminated and control sites. In summer at Scott Base and Marble Point the mean weekly maximum near surface (2 cm and 5 cm depth) soil temperatures were warmer (P &lt; 0.05), sometimes by more than 10°C, at the contaminated site than the control sites. At Bull Pass there were no statistically significant differences in near-surface soil temperatures between contaminated and control soils. At the Scott Base and Marble Point sites soil albedo was lower, and hydrophobicity was higher, in the contaminated soils than the controls. The higher temperatures at the Scott Base and Marble Point hydrocarbon contaminated sites are attributed to the decreased surface albedo due to soil surface darkening by hydrocarbons. There were no noteworthy differences in moisture retention between contaminated and control sites.</t>
  </si>
  <si>
    <t>Univ Waikato, Dept Earth Sci, Hamilton 2001, New Zealand; Nat Resources Conservat Serv, USDA, Lincoln, NE 68508 USA; Landcare Res, Hamilton 2001, New Zealand; Land &amp; Soil Consultancy Serv, Nelson, New Zealand</t>
  </si>
  <si>
    <t>University of Waikato; United States Department of Agriculture (USDA); Landcare Research - New Zealand</t>
  </si>
  <si>
    <t>Balks, MR (corresponding author), Univ Waikato, Dept Earth Sci, Private Bag 3105, Hamilton 2001, New Zealand.</t>
  </si>
  <si>
    <t>10.1017/S0954102002000135</t>
  </si>
  <si>
    <t>WOS:000181258200004</t>
  </si>
  <si>
    <t>Polito, M; Emslie, SD; Walker, W</t>
  </si>
  <si>
    <t>A 1000-year record of Adelie penguin diets in the southern Ross Sea</t>
  </si>
  <si>
    <t>Antarctica; diet; ornithogenic soils; Pleuragramma; prey remains; Pygoscelis adeliae; Ross Island</t>
  </si>
  <si>
    <t>CAPE BIRD; ORNITHOGENIC SOILS; AGE CALIBRATION; LATE HOLOCENE; ANTARCTICA; ROOKERIES; COLONIES; EMPEROR; ISLAND; FOOD</t>
  </si>
  <si>
    <t>Non-krill prey remains were recovered from ornithogenic sediments at three active Adelie penguin colonies on Ross Island, to assess long-term dietary trends in this species. Radiocarbon dates place the age of these deposits from a maximum of 947 years ago to the present. We identified 12 taxa of fish and two of squid with the Antarctic silverfish (Pleuragramma antarcticum) as the most abundant prey species represented at all sites. In addition, silverfish have decreased in importance in Adelie penguin diet over the past 600 years, perhaps in response to climate change since the onset of the Little Ice Age, though it remains much more abundant in current penguin diet in the Ross Sea than in the Antarctic Peninsula. Other prey taxa reflect the diversity of prey selection by Adelie penguins in Antarctica.</t>
  </si>
  <si>
    <t>Univ N Carolina, Dept Biol Sci, Wilmington, NC 28403 USA; NOAA, Natl Marine Fisheries Serv, Alaska Fisheries Sci Ctr, Natl Marine Mammal Lab, Seattle, WA 98115 USA</t>
  </si>
  <si>
    <t>University of North Carolina; University of North Carolina Wilmington; National Oceanic Atmospheric Admin (NOAA) - USA</t>
  </si>
  <si>
    <t>Univ N Carolina, Dept Biol Sci, Wilmington, NC 28403 USA.</t>
  </si>
  <si>
    <t>Polito, Michael/G-9118-2012</t>
  </si>
  <si>
    <t>Polito, Michael/0000-0001-8639-4431</t>
  </si>
  <si>
    <t>10.1017/S0954102002000184</t>
  </si>
  <si>
    <t>WOS:000181258200005</t>
  </si>
  <si>
    <t>Noon, PE; Leng, MJ; Arrowsmith, C; Edworthy, MG; Strachan, RJ</t>
  </si>
  <si>
    <t>Seasonal observations of stable isotope variations in a valley catchment, Signy Island, South Orkney Islands</t>
  </si>
  <si>
    <t>Antarctica; climate; hydrology; monitoring; precipitation; water isotopes</t>
  </si>
  <si>
    <t>ANTARCTIC LAKES; OXYGEN ISOTOPES; SEDIMENTS; WATER; ICE; PRECIPITATION; EVOLUTION; RECORD</t>
  </si>
  <si>
    <t>The oxygen and hydrogen isotope composition of waters in a small valley at Signy Island, South Orkney Islands, were monitored over three summers (1999 to 2001). These stable isotopes track water movement through the catchment, especially seasonal precipitation and snow melt. All samples fall close to the regional meteoric water line but factors other than air temperature cause year-to-year variability. Residence times are in the order of days thus the lake water provides an average of precipitation falling only a few days before, except in the winter when the lakes are effectively closed. Freezing of surface waters preserves the isotope signature of the underlying waters from the previous summer. In spring, meltwaters from winter snow are isotopically depleted having delta(18)O and deltaD as low as -13parts per thousand and -100parts per thousand (VSMOW). Ice-cover break-up in late December allows complete water column mixing. By February, the lakes are relatively enriched isotopically (delta(18)O-9parts per thousand) by summer precipitation. Precipitation isotopic composition at Halley Station, Brunt Ice Shelf, is similar, illustrating the broad-scale effects of the Weddell Sea cyclonic atmospheric circulation. These data form a useful reference data-set for the ground-based validation of atmospheric models and palaeoclimate reconstructions in this isolated sector of the South Atlantic Ocean.</t>
  </si>
  <si>
    <t>British Antarctic Survey, NERC, Cambridge CB3 0ET, England; British Geol Survey, NERC, Isotope Geosci Lab, Keyworth NG12 5GG, Notts, England; English Nat, Thatcham RG19 8EL, Berks, England</t>
  </si>
  <si>
    <t>UK Research &amp; Innovation (UKRI); Natural Environment Research Council (NERC); NERC British Antarctic Survey; UK Research &amp; Innovation (UKRI); Natural Environment Research Council (NERC); NERC British Geological Survey</t>
  </si>
  <si>
    <t>Noon, PE (corresponding author), Cranfield Univ, Inst Water &amp; Environm, Bedford MK45 4DT, England.</t>
  </si>
  <si>
    <t>Leng, Melanie/0000-0003-1115-5166; Arrowsmith, Carol/0000-0003-3849-5179</t>
  </si>
  <si>
    <t>10.1017/S0954102002000159</t>
  </si>
  <si>
    <t>WOS:000181258200006</t>
  </si>
  <si>
    <t>Surface and subsurface flows of nutrients in natural and human impacted lake catchments on Broknes, Larsemann Hills, Antarctica</t>
  </si>
  <si>
    <t>Antarctica; catchments; freshwater; human impact; nitrogen; phosphorus; piezometers</t>
  </si>
  <si>
    <t>GEOCHEMICAL PROCESSES; VICTORIA LAND; PHYTOPLANKTON; EVOLUTION; REGION</t>
  </si>
  <si>
    <t>This study aimed to use nutrients in lake inflows as proxies for assessing human impact and separating this from natural transformations of material in the soil active layer. Nutrients, conductivity and delta(18)O were monitored in surface and subsurface (using ceramic tipped piezometers) lake inflows during summer in near natural and human impacted catchments. The nutrient levels were highly variable but generally higher during the last weeks of the flow, in both subsurface waters and in human impacted catchments. Up to 2000 mugN l(-1) subsurface dissolved inorganic nitrogen (DIN) was measured in human impacted catchments but only 315 mug N l(-1) in natural catchments. Subsurface levels of dissolved reactive phosphorus (DRP) were up to 310 mugP l(-1) in natural catchments and up to 108 mugP l(-1) in human impacted catchments. The maximum levels of both DIN and DRP in surface inflows were much higher in human impacted than in natural catchments. Conductivity and delta(18)O data showed general enrichment of snowbank meltwater presumably through evaporation from the active layer. This combined with fluctuating nutrient levels in catchment waters indicated that soil brines and decaying organic matter of natural and human origin were possible sources for nutrients and other salts. Marked salinization and substantially increased DIN levels near the research stations indicated that lake waters were receiving nutrients generated by humans.</t>
  </si>
  <si>
    <t>Tallinn Univ Technol, Inst Geol, EE-10143 Tallinn, Estonia; Univ New S Wales, ADFA, Sch Geog &amp; Oceanog, Canberra, ACT 2600, Australia</t>
  </si>
  <si>
    <t>Tallinn University of Technology; University of New South Wales Sydney; Australian Defense Force Academy</t>
  </si>
  <si>
    <t>10.1017/S0954102002000123</t>
  </si>
  <si>
    <t>WOS:000181258200007</t>
  </si>
  <si>
    <t>Sicinski, J; Gillet, P</t>
  </si>
  <si>
    <t>Biogeographical affinities of polychaetes from Iles Crozet</t>
  </si>
  <si>
    <t>annelids; Antarctica; distribution; diversity; sub-Antarctic islands</t>
  </si>
  <si>
    <t>The study of polychaetes from the Marion Dufresne expedition to the Iles Crozet in 1982 provided 45 species from depths ranging from 50-1055 m. The most abundant was Eunice pennata, found at all depths and in all types of substratum in about 66% of the samples. This species with Laetmonice producta, Harmothoe spinosa and Lanice marionensis made up over 50% of all polychaete specimens. A homogenous polychaete assemblage dominated by the above mentioned group of species was encountered in the shallower stations (100-300 m). A mosaic-like and less abundant polychaete fauna with some characteristic, abundant species: Amage sculpta, Laetmonice wyvillei, Leanira quatrefagesi and Melinna cristata was encountered in the deeper stations (300-1055 m). Clear similarities between the polychaete fauna of Iles Crozet and soft-sediment polychaete assemblages of Marion and Prince Edward Islands were noticed. No such affinity was encountered with the polychaete fauna of Iles Kerguelen. Their position in relation to the Polar Front as well as possible differences in bottom deposits (calcareous versus siliceous) may in part explain these dissimilarities. The biogeographical status of Kerguelen Islands is also discussed.</t>
  </si>
  <si>
    <t>Univ Lodz, Dept Invertebrate Zool &amp; Hydrobiol, Lab Polar Biol &amp; Oceanobiol, PL-90237 Lodz, Poland; Ctr Etud &amp; Rech Ecosyst Aquat, Inst Fundamental &amp; Appl Res, UCO, F-49008 Angers 01, France</t>
  </si>
  <si>
    <t>University of Lodz</t>
  </si>
  <si>
    <t>Sicinski, J (corresponding author), Univ Lodz, Dept Invertebrate Zool &amp; Hydrobiol, Lab Polar Biol &amp; Oceanobiol, Banacha 12-16, PL-90237 Lodz, Poland.</t>
  </si>
  <si>
    <t>Sicinski, Jacek/P-2033-2017</t>
  </si>
  <si>
    <t>Sicinski, Jacek/0000-0002-5235-3188</t>
  </si>
  <si>
    <t>10.1017/S0954102002000172</t>
  </si>
  <si>
    <t>WOS:000181258200008</t>
  </si>
  <si>
    <t>Appleyard, SA; Ward, RD; Williams, R</t>
  </si>
  <si>
    <t>Population structure of the Patagonian toothfish around Heard, McDonald and Macquarie Islands</t>
  </si>
  <si>
    <t>Dissostichus; genetic stock structure; microsatellite loci; mitochondrial DNA; Southern Ocean</t>
  </si>
  <si>
    <t>ALLELE FREQUENCY DATA; MITOCHONDRIAL-DNA; DISSOSTICHUS-ELEGINOIDES; MICROSATELLITE LOCI; GENETIC-STRUCTURE; AVERAGE HETEROZYGOSITY; STOCK ASSESSMENT; SOUTHERN-OCEAN; MARKERS; BOTTLENECK</t>
  </si>
  <si>
    <t>Two mitochondrial DNA regions and seven microsatellite loci were examined in Patagonian toothfish from three locations in the Southern Ocean (Macquarie Island, five collections; Heard and McDonald Islands, four collections; Shag Rocks/South Georgia area, one collection). Striking mtDNA heterogeneity was detected between the three fishing locations (F-ST = 0.445, P &lt; 0.001), but spatial and temporal collections within the same location were not significantly different. No significant overall microsatellite differentiation between the three locations was apparent (F-ST = -0.009, P = 0.785). However, some individual loci showed small but significant differentiation, which in each case was attributable to between rather than within-location differentiation. Greater differentiation of mtDNA can, in principle, be explained either by female philopatry and male dispersal, or by its greater sensitivity to changes in effective population size. The latter seems more likely as tagging indicates that toothfish is generally a sedentary species. The genetic heterogeneity between the three locations indicates restricted gene flow, with the fish at each location comprising independent units. Depletion in one location is therefore unlikely to be quickly replaced by immigration from another.</t>
  </si>
  <si>
    <t>CSIRO Marine Res, Hobart, Tas 7001, Australia; Australian Antarctic Div, Kingston, Tas 7050, Australia</t>
  </si>
  <si>
    <t>Commonwealth Scientific &amp; Industrial Research Organisation (CSIRO); Australian Antarctic Division</t>
  </si>
  <si>
    <t>Appleyard, SA (corresponding author), CSIRO Marine Res, GPO Box 1538, Hobart, Tas 7001, Australia.</t>
  </si>
  <si>
    <t>appleyard, sharon/D-6076-2012; Appleyard, Sharon/AAJ-9942-2020; Ward, Robert D/A-2319-2012</t>
  </si>
  <si>
    <t>appleyard, sharon/0000-0002-3105-1690; Appleyard, Sharon/0000-0002-3105-1690;</t>
  </si>
  <si>
    <t>10.1017/S0954102002000238</t>
  </si>
  <si>
    <t>WOS:000181258200009</t>
  </si>
  <si>
    <t>Smith, SDA; Simpson, RD</t>
  </si>
  <si>
    <t>Spatial variation in the community structure of intertidal habitats at Macquarie Island (sub-Antarctic)</t>
  </si>
  <si>
    <t>holdfast macrofauna; Macquarie Island; shore zones; spatial variation; wave exposure</t>
  </si>
  <si>
    <t>PHYTAL ANIMAL COMMUNITIES; ECKLONIA-RADIATA HOLDFASTS; ROCKY SHORES; TAXONOMIC DISTINCTNESS; MACROFAUNAL COMMUNITY; SOUTHERN-OCEAN; WAVE EXPOSURE; OIL-SPILL; PATTERNS; ORGANIZATION</t>
  </si>
  <si>
    <t>The shore environments of most sub-Antarctic islands have been described in a number of previous studies. However, there have been few attempts to quantify the variation in population and community patterns over different spatial scales. The objectives of this study were to provide an analysis of differences in the community structure of the biota of three exposed shore zones and of the macrofauna inhabiting holdfasts of the kelp Durvillaea antarctica across spatial scales of hundreds of metres, kilometres, and between a sheltered and exposed coast. Data were collected using a combination of quadrat, transect and direct sampling methods over the 1994-95 summer season. The results indicated that there were significant differences between coasts for some of the biotic variables in most of the habitats examined but that differences at the smaller spatial scales were more often significant. Thus, although wave exposure exerts an obvious effect on the shore biota of Macquarie Island, these effects are modified by other factors operating at smaller spatial scales. For the holdfast macrofauna, the overall patterns of community structure are likely to be due to the differential response of the component taxa to variation in holdfast volume and holdfast sediment content as well as other, currently undetermined factors.</t>
  </si>
  <si>
    <t>Natl Marine Sci Ctr, Coffs Harbour, NSW 2450, Australia; Univ New England, Sch Environm Sci &amp; Nat Resources Management, Armidale, NSW 2351, Australia</t>
  </si>
  <si>
    <t>Southern Cross University; University of New England</t>
  </si>
  <si>
    <t>Smith, SDA (corresponding author), Natl Marine Sci Ctr, POB J321, Coffs Harbour, NSW 2450, Australia.</t>
  </si>
  <si>
    <t>Smith, Stephen D A/I-1945-2012</t>
  </si>
  <si>
    <t>Smith, Stephen D A/0000-0002-3372-5441</t>
  </si>
  <si>
    <t>10.1017/S0954102002000160</t>
  </si>
  <si>
    <t>WOS:000181258200010</t>
  </si>
  <si>
    <t>Kirkup, H; Melles, M; Gore, DB</t>
  </si>
  <si>
    <t>Late Quaternary environment of southern Windmill Islands, East Antarctica</t>
  </si>
  <si>
    <t>Antarctica; climate; Holocene; interglacial environment; marine sediments; Pleistocene</t>
  </si>
  <si>
    <t>RADIOCARBON AGE CALIBRATION; LAW DOME; HOLOCENE CLIMATE; BUDD COAST; ICE-FREE; INFORMATION; HILLS</t>
  </si>
  <si>
    <t>Analyses on a sediment core collected from the Windmill Islands, East Antarctica are used to demonstrate that climatic conditions in this region prior to the Last Glacial Maximum were similar to those during the Holocene and that the area was overrun by ice at some stage between 26 kyr Bp and the onset of biogenic sedimentation 11 kyr BP. The 10.9 m long core was taken from a marine inlet (epishelf lake) on Peterson Island and is predominantly a sapropel of Holocene age. Material in the lower part of the core includes a till layer lain down during the last glacial in the region and below this till is material which has been dated to 26 kyr BP. Geochemical analyses conducted on the core demonstrate similarities between the Holocene sequence and the preglacial material. The Holocene sequence shows enhanced biogenic production and periods of open water around 4 kyr BP, suggesting a climatic optimum around that time. A subsequent decline in conditions, probably a colder climate with greater extent of sea ice, is evident from 1 kyr BP to the present. The data support results from ice core studies on nearby Law Dome, which suggest there was a period of warming around 11.5 to 9 kyr BP, that recent summer temperatures are low relative to a few centuries ago, and that increasing winter temperatures are the main contributing factor to a recent overall warming in the region.</t>
  </si>
  <si>
    <t>Macquarie Univ, Dept Phys Geog, N Ryde, NSW 2109, Australia; Univ Leipzig, Inst Geol &amp; Geophys, D-04103 Leipzig, Germany</t>
  </si>
  <si>
    <t>Macquarie University; Leipzig University</t>
  </si>
  <si>
    <t>Macquarie Univ, Dept Phys Geog, N Ryde, NSW 2109, Australia.</t>
  </si>
  <si>
    <t>hkirkup@penman.es.mq.edu.au</t>
  </si>
  <si>
    <t>Melles, Martin/J-4070-2012</t>
  </si>
  <si>
    <t>Melles, Martin/0000-0003-0977-9463; Gore, Damian/0000-0002-0377-8518</t>
  </si>
  <si>
    <t>10.1017/S0954102002000202</t>
  </si>
  <si>
    <t>WOS:000181258200011</t>
  </si>
  <si>
    <t>Bradshaw, MA; Newman, J; Aitchison, JC</t>
  </si>
  <si>
    <t>The sedimentary geology, palaeoenvironments and ichnocoenoses of the Lower Devonian Horlick Formation, Ohio Range, Antarctica</t>
  </si>
  <si>
    <t>Beacon Supergroup; sedimentology; trace fossils; Transantarctic Mountains</t>
  </si>
  <si>
    <t>BEACON SUPERGROUP; WEST ANTARCTICA; VICTORIA-LAND; ROSS SEA; MOUNTAINS; SYSTEMATICS; HISTORY; ROCKS</t>
  </si>
  <si>
    <t>Six ichnocoenoses in the clastic Devonian Horlick Formation (max. 56 m) confirm the nearshore marine character of eight of the nine lithofacies present. A basal sand sheet overlies a weathered granitic land surface (Kukri Erosion Surface) on Cambro-Ordovician granitoids. The level nature of this surface and the way it cuts across weathering profiles, suggests that the surface had been modified by marine processes prior to deposition. The basal sand sheet (Cross-bedded Sand sheet Lithofacies) contains tidal bundles, and at its top, abundant Monocraterion (Monocraterion Ichnocoenosis). The second sand sheet (Pleurothyrella Lithofacies) is heavily burrowed and shows alternating periods of sedimentation, burrowing, and erosion below wave base as the sea deepened (Catenarichnus Ichnocoenosis). With increasing transgression, finer sediments were deposited (Laminated Mudstone and Feldspathic lithofacies) in an unstable pattern of coarse sandbars and finer troughs (Cruziana-Rusophycus and Arenicolites ichnocoenoses) crossed by active longshore marine channels (Poorly-sorted Lithofacies, Spirophyton Ichnoocoenosis). Short-lived but powerful storms produced thin shelly tempestites (Shell-bed Lithofacies), whereas sporadic, very thin phosphate rich beds (Phosphatic Lithofacies) may have resulted from marine transgressions across the basin. The deepest water is probably represented by sediments of the Spir fer Lithofacies (Rosselia Ichnocoenosis). The Schulthess Lithofacies is regarded as fluvial, deposited in the lower reaches of a river draining a land area that lay towards Marie Byrd Land. Channels in the basal sand sheet indicate movement to the southwest, but orientation became more variable higher in the sequence. Four new measured sections are figured. The relationship of the Ohio Range to the rest of Antarctica during the Devonian is suggested.</t>
  </si>
  <si>
    <t>Univ Canterbury, Dept Geol Sci, Christchurch 1, New Zealand; Newman Energy Res, Christchurch 8002, New Zealand; Univ Hong Kong, Dept Earth Sci, Hong Kong, Hong Kong, Peoples R China</t>
  </si>
  <si>
    <t>University of Canterbury; University of Hong Kong</t>
  </si>
  <si>
    <t>Univ Canterbury, Dept Geol Sci, Private Bag 4800, Christchurch 1, New Zealand.</t>
  </si>
  <si>
    <t>Aitchison, Jonathan/D-3046-2009</t>
  </si>
  <si>
    <t>Aitchison, Jonathan/0000-0002-3659-5849</t>
  </si>
  <si>
    <t>10.1017/S0954102002000196</t>
  </si>
  <si>
    <t>WOS:000181258200012</t>
  </si>
  <si>
    <t>Fretzdorff, S; Smellie, JL</t>
  </si>
  <si>
    <t>Electron microprobe characterization of ash layers in sediments from the central Bransfield basin (Antarctic Peninsula): evidence for at least two volcanic sources</t>
  </si>
  <si>
    <t>ash layers; Bransfield Strait; Deception Island; geochemistry</t>
  </si>
  <si>
    <t>SOUTH SHETLAND ISLANDS; DECEPTION ISLAND; WEST-ANTARCTICA; STRAIT; GEOCHEMISTRY; EVOLUTION; RIDGE; SEA; ARC</t>
  </si>
  <si>
    <t>Bransfield Strait, a narrow active rift with three submarine basins, separates the South Shetland Islands from northern Antarctic Peninsula. Volcanism in Bransfield Strait commenced prior to 0.75 Ma and continues, with recent subaerial eruptions at Deception, Bridgeman and Penguin islands, submarine hydrothermal activity and numerous young basaltic seamounts located along the rift axis. Gravity cores were collected from five locations within the central Bransfield basin. Diatomaceous mud interbedded with terrigenous detritus and discrete ash layers up to 10 cm thick are the commonest sediment types in all the cores. The major element compositions of glass shards within the ash layers are, apart from the uppermost layer, compositionally similar to pyroclastic units preserved on Deception Island, a young (&lt; 0.75 Ma) active stratovolcano. The uppermost ash layer cannot be closely matched compositionally to any known source in the Antarctic-Scotia Sea-southem South America region. Its presence indicates that a volcanic centre other than Deception Island contributed ash to the Bransfield basin. Based on the shallow stratigraphical position of the compositionally distinctive ash layer, only a few decimetres beneath the seafloor, its source volcano was probably active in historical times (&lt; few hundred years).</t>
  </si>
  <si>
    <t>Univ Kiel, Inst Geowissensch, D-24118 Kiel, Germany; British Antarctic Survey, NERC, Cambridge CB3 0ET, England</t>
  </si>
  <si>
    <t>University of Kiel; UK Research &amp; Innovation (UKRI); Natural Environment Research Council (NERC); NERC British Antarctic Survey</t>
  </si>
  <si>
    <t>Fretzdorff, S (corresponding author), Univ Kiel, Inst Geowissensch, Olshaussenstr 40, D-24118 Kiel, Germany.</t>
  </si>
  <si>
    <t>10.1017/S0954102002000214</t>
  </si>
  <si>
    <t>WOS:000181258200013</t>
  </si>
  <si>
    <t>Bradshaw, MA</t>
  </si>
  <si>
    <t>A new ichnogenus Catenarichnus from the Devonian of the Ohio Range, Antarctica</t>
  </si>
  <si>
    <t>Univ Canterbury, Dept Geol Sci, Christchurch 1, New Zealand</t>
  </si>
  <si>
    <t>University of Canterbury</t>
  </si>
  <si>
    <t>Bradshaw, MA (corresponding author), Univ Canterbury, Dept Geol Sci, Private Bag 4800, Christchurch 1, New Zealand.</t>
  </si>
  <si>
    <t>10.1017/S095410200200024X</t>
  </si>
  <si>
    <t>WOS:000181258200014</t>
  </si>
  <si>
    <t>Simpson, AL; Cooper, AF</t>
  </si>
  <si>
    <t>Geochemistry of the Darwin Glacier region granitoids, southern Victoria Land</t>
  </si>
  <si>
    <t>ANTARCTICA; MARGIN</t>
  </si>
  <si>
    <t>Univ Otago, Dept Geol, Dunedin, New Zealand</t>
  </si>
  <si>
    <t>Simpson, AL (corresponding author), Univ Queensland, Dept Earth Sci, Brisbane, Qld 4072, Australia.</t>
  </si>
  <si>
    <t>10.1017/S0954102002000226</t>
  </si>
  <si>
    <t>WOS:000181258200015</t>
  </si>
  <si>
    <t>Kim, S; Martin, CL; Stark, AA; Lane, AP</t>
  </si>
  <si>
    <t>Antarctic Submillimeter Telescope and Remote Observatory observations of CO J=7→6 and J=4→3 emission toward the Galactic center region</t>
  </si>
  <si>
    <t>ASTROPHYSICAL JOURNAL</t>
  </si>
  <si>
    <t>Galaxy : abundances; Galaxy : center; ISM : general; ISM : molecules; submillimeter</t>
  </si>
  <si>
    <t>C-12/C-13 ISOTOPE RATIO; CENTER MOLECULAR CLOUDS; GAS; KINEMATICS; GALAXY; AST/RO; GHZ</t>
  </si>
  <si>
    <t>We present position-velocity strip maps of the Galactic center region in the CO J = 7 --&gt; 6 and J = 4 --&gt; 3 transitions observed with the Antarctic Submillimeter Telescope and Remote Observatory located at the Amundsen-Scott South Pole Station. Emission from the two rotational transitions of (CO)-C-12 was mapped at b = 0degrees for 3.degrees5 &gt; l &gt; -1.degrees5 on a 1' grid with a FWHM beam size of 58 at 806 GHz and 105 at 461 GHz. Previous observations of CO J = 4 --&gt; 3 (C. L. Martin et al., in preparation) and of [C I] emission (Ojha et al.) from this region show that these lines are distributed in a manner similar to CO J = 1 --&gt; 0 (Stark et al.); the (CO J = 4 --&gt;3)/(CO J = 1 --&gt; 0) line ratio map is almost featureless across the entire Galactic center region. In contrast, the CO J = 7 --&gt; 6 emission from the Galactic center is strongly peaked toward the Sgr A and Sgr B molecular complexes. A large velocity gradient analysis shows that, aside from the two special regions Sgr A and Sgr B, the photon-dominated regions within a few hundred parsecs of the Galactic center are remarkably uniform in mean density and kinetic temperature at n = 2500-4000 cm(-3) and T = 30-45 K. The (CO J = 7 --&gt; 6)/(CO J = 4 --&gt; 3) line temperature ratios near Sgr B are a factor of 2 higher than those observed in the nuclear region of the starburst galaxy M82 (Mao et al.), while the CO(J = 7 --&gt; 6)/CO(J = 4 --&gt; 3) line temperature ratios around Sgr A are similar to M82. The line ratio on large scales from the Galactic center region is an order of magnitude less than that from M82.</t>
  </si>
  <si>
    <t>Harvard Smithsonian Ctr Astrophys, Cambridge, MA 02138 USA</t>
  </si>
  <si>
    <t>Smithsonian Astrophysical Observatory; Smithsonian Institution; Harvard University</t>
  </si>
  <si>
    <t>Kim, S (corresponding author), Harvard Smithsonian Ctr Astrophys, 60 Garden St, Cambridge, MA 02138 USA.</t>
  </si>
  <si>
    <t>Kim, Sungeun/AAH-3658-2021</t>
  </si>
  <si>
    <t>Kim, Sungeun/0000-0002-7558-8502; Martin, Christopher/0000-0002-8078-8859; Stark, Antony/0000-0002-2718-9996</t>
  </si>
  <si>
    <t>0004-637X</t>
  </si>
  <si>
    <t>ASTROPHYS J</t>
  </si>
  <si>
    <t>Astrophys. J.</t>
  </si>
  <si>
    <t>DEC 1</t>
  </si>
  <si>
    <t>10.1086/343842</t>
  </si>
  <si>
    <t>619DG</t>
  </si>
  <si>
    <t>WOS:000179458300024</t>
  </si>
  <si>
    <t>Agnew, DJ; Beddington, JR; Hill, SL</t>
  </si>
  <si>
    <t>The potential use of environmental information to manage squid stocks</t>
  </si>
  <si>
    <t>CANADIAN JOURNAL OF FISHERIES AND AQUATIC SCIENCES</t>
  </si>
  <si>
    <t>ILLEX-ARGENTINUS CEPHALOPODA; ANTARCTIC CIRCUMPOLAR WAVE; FALKLAND ISLANDS; LOLIGO-GAHI; RECRUITMENT; VARIABILITY; OMMASTREPHIDAE; TEMPERATURE; FISHERIES; COD</t>
  </si>
  <si>
    <t>Most commercially exploited squid species have short life cycles and stocks composed of recruits from a single cohort, the size of which is unknown prior to the fishing season. Recent studies suggest that strong environment-recruitment relationships may exist for a number of squid stocks. Using simulation models based on Falkland Island Patagonian squid (Loligo gahi), the recruit abundance of which is predicted by sea-surface temperature, we propose a method for using predictive relationships in the management of squid populations. We compare a management strategy based on recruitment prediction with historical data from the fishery, which was managed in the absence of these predictions. Our results suggest that varying effort on the basis of an environmental correlate of recruitment can reduce the risk of not meeting conservation targets while increasing yield. Effort has to be reduced in years of low abundance but licensing additional effort in years of high abundance increases long-term average catches. Even if effort levels were not allowed to vary by more than 50% between years, a management strategy for L. gahi based on prediction would have resulted in higher average catches and a reduced probability of the stock biomass falling below a notional conservation limit.</t>
  </si>
  <si>
    <t>Univ London Imperial Coll Sci Technol &amp; Med, Royal Sch Mines, Dept Environm Sci &amp; Technol, Renewable Resources Assessment Grp, London SW7 2BP, England</t>
  </si>
  <si>
    <t>Agnew, DJ (corresponding author), Univ London Imperial Coll Sci Technol &amp; Med, Royal Sch Mines, Dept Environm Sci &amp; Technol, Renewable Resources Assessment Grp, Prince Consort Rd, London SW7 2BP, England.</t>
  </si>
  <si>
    <t>Simeon, Hill L/B-2307-2008</t>
  </si>
  <si>
    <t>NATL RESEARCH COUNCIL CANADA</t>
  </si>
  <si>
    <t>RESEARCH JOURNALS, MONTREAL RD, OTTAWA, ONTARIO K1A 0R6, CANADA</t>
  </si>
  <si>
    <t>0706-652X</t>
  </si>
  <si>
    <t>CAN J FISH AQUAT SCI</t>
  </si>
  <si>
    <t>Can. J. Fish. Aquat. Sci.</t>
  </si>
  <si>
    <t>10.1139/F02-150</t>
  </si>
  <si>
    <t>642PB</t>
  </si>
  <si>
    <t>WOS:000180811800002</t>
  </si>
  <si>
    <t>Wilkins, SP; Blum, AJ; Burkepile, DE; Rutland, TJ; Wierzbicki, A; Kelly, M; Hamann, MT</t>
  </si>
  <si>
    <t>Isolation of an antifreeze peptide from the Antarctic sponge Homaxinella balfourensis</t>
  </si>
  <si>
    <t>CELLULAR AND MOLECULAR LIFE SCIENCES</t>
  </si>
  <si>
    <t>antifreeze protein; non-colligative freezing point depression; HPLC; matrix-assisted laser desorption ionization time-of-flight mass spectrometry (MALDI/TOF-MS)</t>
  </si>
  <si>
    <t>NOTOTHENIOID FISH; PROTEINS; EVOLUTION</t>
  </si>
  <si>
    <t>Polar plants and animals survive in subzero waters (-2degreesC) and many of these marine organisms produce antifreeze proteins (AFPs) to better adapt themselves to these conditions. AFPs prevent the growth of ice crystals which disrupt cellular membranes and destroy cells by inhibiting crystallization of water within the organism. The hydrophilic extract of an Antarctic sponge Homaxinella balfourensis exhibited a non-colligative freezing point depression effect on the crystal morphology of water. The extract was purified by repeated reverse phase high-pressure liquid chromatography, then assayed and shown to contain several AFPs. The major peptide was isolated. analyzed using matrix-assisted laser desorption ionization mass spectrometry and the partial structure of the peptide identified through amino acid sequencing. AFPs have potential applications in agriculture, medicine and tile food industry.</t>
  </si>
  <si>
    <t>Univ Mississippi, Sch Pharm, Dept Pharmacognosy NCNPR, University, MS 38677 USA; Univ S Alabama, Dept Chem, Mobile, AL 36688 USA; Natl Inst Water &amp; Atmospher Res, NIWA, Auckland, New Zealand</t>
  </si>
  <si>
    <t>University of Mississippi; University of South Alabama; National Institute of Water &amp; Atmospheric Research (NIWA) - New Zealand</t>
  </si>
  <si>
    <t>Univ Mississippi, Sch Pharm, Dept Pharmacognosy NCNPR, 400 C Faser Hall, University, MS 38677 USA.</t>
  </si>
  <si>
    <t>mthamann@olemiss.edu</t>
  </si>
  <si>
    <t>Burkepile, Deron E/F-2368-2013; Hamann, Mark T./ABG-5857-2020</t>
  </si>
  <si>
    <t>Hamann, Mark T./0000-0002-3798-4002</t>
  </si>
  <si>
    <t>NIAID NIH HHS [R01 AI036596] Funding Source: Medline</t>
  </si>
  <si>
    <t>NIAID NIH HHS(United States Department of Health &amp; Human ServicesNational Institutes of Health (NIH) - USANIH National Institute of Allergy &amp; Infectious Diseases (NIAID))</t>
  </si>
  <si>
    <t>SPRINGER BASEL AG</t>
  </si>
  <si>
    <t>PICASSOPLATZ 4, BASEL, 4052, SWITZERLAND</t>
  </si>
  <si>
    <t>1420-682X</t>
  </si>
  <si>
    <t>1420-9071</t>
  </si>
  <si>
    <t>CELL MOL LIFE SCI</t>
  </si>
  <si>
    <t>Cell. Mol. Life Sci.</t>
  </si>
  <si>
    <t>10.1007/s000180200020</t>
  </si>
  <si>
    <t>Biochemistry &amp; Molecular Biology; Cell Biology</t>
  </si>
  <si>
    <t>639JM</t>
  </si>
  <si>
    <t>WOS:000180625000022</t>
  </si>
  <si>
    <t>Carcaillet, C; Almquist, H; Asnong, H; Bradshaw, RHW; Carrión, JS; Gaillard, MJ; Gajewski, K; Haas, JN; Haberle, SG; Hadorn, P; Müller, SD; Richard, PJH; Richoz, I; Rösch, M; Goñi, MFS; von Stedingk, H; Stevenson, AC; Talon, B; Tardy, C; Tinner, W; Tryterud, E; Wick, L; Willis, KJ</t>
  </si>
  <si>
    <t>Holocene biomass burning and global dynamics of the carbon cycle</t>
  </si>
  <si>
    <t>fire; atmospheric carbon dynamics; Europe; North America; South America; southeast Asia</t>
  </si>
  <si>
    <t>SOIL ORGANIC-MATTER; FOREST-SAVANNA BOUNDARY; SOUTH-WESTERN GERMANY; EASTERN NORTH-AMERICA; PAPUA-NEW-GUINEA; FIRE HISTORY; VEGETATION DYNAMICS; CLIMATIC CHANGES; CENTRAL BRAZIL; CHARCOAL EVIDENCE</t>
  </si>
  <si>
    <t>Fire regimes have changed during the Holocene due to changes in climate, vegetation, and in human practices. Here, we hypothesise that changes in fire regime may have affected the global CO2 concentration in the atmosphere through the Holocene. Our data are based on quantitative reconstructions of biomass burning deduced from stratified charcoal records from Europe, and South-, Central- and North America, and Oceania to test the fire-carbon release hypothesis. In Europe the significant increase of fire activity is dated approximate to6000 cal. yr ago. In north-eastern North America burning activity was greatest before 7500 years ago, very low between 7500-3000 years, and has been increasing since 3000 years ago. In tropical America, the pattern is more complex and apparently latitudinally zonal. Maximum burning occurred in the southern Amazon basin and in Central America during the middle Holocene, and during the last 2000 years in the northern Amazon basin. In Oceania, biomass burning has decreased since a maximum 5000 years ago. Biomass burning has broadly increased in the Northern and Southern hemispheres throughout the second half of the Holocene associated with changes in climate and human practices. Global fire indices parallel the increase of atmospheric CO2 concentration recorded in Antarctic ice cores. Future issues on carbon dynamics relatively to biomass burning are discussed to improve the quantitative reconstructions. (C) 2002 Elsevier Science Ltd. All rights reserved.</t>
  </si>
  <si>
    <t>Swedish Univ Agr Sci, Dept Forest Vegetat Ecol, S-90183 Umea, Sweden; Univ Maine, Inst Quaternary &amp; Climate Studies, Orono, ME 04469 USA; Univ Montreal, Dept Geog, Montreal, PQ H3C 3J7, Canada; Geol Survey Denmark, Dept Environm Hist &amp; Climate Change, DK-2400 Copenhagen NV, Denmark; Geol Survey Greenland, DK-2400 Copenhagen NV, Denmark; Univ Murcia, Fac Biol, Dept Biol Vegetal, E-30100 Murcia, Spain; Vaxjo Univ, Sch Biosci &amp; Proc Technol IBP, SE-35195 Vaxjo, Sweden; Univ Ottawa, Dept Geog, Ottawa, ON K1N 6N5, Canada; Univ Innsbruck, Dept Bot, A-6020 Innsbruck, Austria; Monash Univ, Sch Geog &amp; Environm Sci, Clayton, Vic 3800, Australia; Serv Cantonal Archeol, CH-2000 Neuchatel, Switzerland; Musee &amp; Jardins Bot Cantonaux Lausanne, CH-1007 Lausanne, Switzerland; Landesanstalt Umweltschutz Baden Wurttemberg, D-78343 Hemmenhofen, Germany; Univ Bordeaux 1, CNRS, Ecole Prat Hautes Etud, Dept Geol &amp; Oceanog, F-33405 Talence, France; Newcastle Univ, Dept Geog, Newcastle Upon Tyne NE1 7RU, Tyne &amp; Wear, England; Univ Aix Marseille 3, CNRS, Inst Mediterraneen Ecol &amp; Paleoecol, F-13397 Marseille, France; Univ Montpellier 2, CNRS, Inst Bot, F-34090 Montpellier, France; Univ Bern, Inst Pflanzenwissensch, CH-3013 Bern, Switzerland; Agr Univ Norway, Dept Biol &amp; Nat Conservat, N-1432 As, Norway; Univ Oxford, Sch Geog, Oxford OX1 3TB, England</t>
  </si>
  <si>
    <t>Swedish University of Agricultural Sciences; University of Maine System; University of Maine Orono; Universite de Montreal; Geological Survey Of Denmark &amp; Greenland; Geological Survey Of Denmark &amp; Greenland; University of Murcia; Linnaeus University; Vaxjo University; University of Ottawa; University of Innsbruck; Monash University; Centre National de la Recherche Scientifique (CNRS); Universite de Bordeaux; Newcastle University - UK; Centre National de la Recherche Scientifique (CNRS); Aix-Marseille Universite; Universite de Montpellier; Centre National de la Recherche Scientifique (CNRS); University of Bern; Norwegian University of Life Sciences; University of Oxford</t>
  </si>
  <si>
    <t>Swedish Univ Agr Sci, Dept Forest Vegetat Ecol, S-90183 Umea, Sweden.</t>
  </si>
  <si>
    <t>carcaillet@univ-montp2.fr</t>
  </si>
  <si>
    <t>Carcaillet, Christopher/G-1218-2011; Haas, Jean Nicolas/I-8835-2018; Gajewski, Konrad/L-5128-2017; Stevenson, Anthony/J-9200-2012; Sanchez Goñi, Maria Fernanda/R-3699-2019; Tinner, Willy/F-6727-2013; Haberle, Simon/U-4118-2019; Talon, Brigitte/GZM-5128-2022; Gaillard, Marie-José/ABG-2680-2021; Carrion, Jose S/A-8983-2015; Bradshaw, Richard/H-8663-2013</t>
  </si>
  <si>
    <t>Carcaillet, Christopher/0000-0002-6632-1507; Stevenson, Anthony/0000-0002-8870-1041; Sanchez Goñi, Maria Fernanda/0000-0001-8238-7488; Tinner, Willy/0000-0001-7352-0144; Carrion, Jose S/0000-0002-6949-4382; Willis, Katherine/0000-0002-6763-2489; Haberle, Simon/0000-0001-5802-6535; Bradshaw, Richard/0000-0002-7331-2246</t>
  </si>
  <si>
    <t>PII S0045-6535(02)00385-5</t>
  </si>
  <si>
    <t>10.1016/S0045-6535(02)00385-5</t>
  </si>
  <si>
    <t>607RR</t>
  </si>
  <si>
    <t>WOS:000178805000007</t>
  </si>
  <si>
    <t>Riding, JB; Crame, JA</t>
  </si>
  <si>
    <t>Aptian to Coniacian (Early-Late Cretaceous) palynostratigraphy of the Gustav Group, James Ross Basin, Antarctica</t>
  </si>
  <si>
    <t>CRETACEOUS RESEARCH</t>
  </si>
  <si>
    <t>James Ross Basin; Antarctica; Cretaceous palynostratigraphy; dinoflagellate cysts</t>
  </si>
  <si>
    <t>BACK-ARC BASIN; PENINSULA REGION; ISLAND AREA; STRATIGRAPHY; PALYNOLOGY; POINT; STAGE; AGE</t>
  </si>
  <si>
    <t>The Gustav Group, of the James Ross Basin, Antarctic Peninsula, forms part of a major Southern Hemisphere Cretaceous reference section. Palynological data, chiefly from dinoflagellate cysts, integrated with macrofaunal evidence and strontium isotope stratigraphy, indicate that the Gustav Group, which is approximately 2.6 km thick, is Aptian-Coniacian in age. Aptian-Coniacian palynofloras in the James Ross Basin closely resemble coeval associations from Australia and New Zealand, and Australian palynological zonation schemes are applicable to the Gustav Group. The lowermost units, the coeval Pedersen and Lagrelius Point formations, have both yielded early Aptian dinoflagellate cysts. Because the overlying Kotick Poirit Formation is of early to mid Albian age, the Aptian/Albian boundary is placed, questionably, at the Lagrelius Point Formation-Kotick Point Formation boundary on James Ross Island, and this transition may be unconformable. Although the Kotick Point Formation is largely early Albian on dinoflagellate cyst evidence, the uppermost part of the formation appears to be of mid Albian age. This differentiation of the early and mid Albian has refined the age of the formation, previously considered to,be Aptian-Alblan, based on macrofaunal evidence. The Whisky Bay Formation is of late Albian to latest Turonian age on dinoflagellate cyst evidence and this supports the macrofaunal ages. Late Albian palynofloras have been recorded from the Gin Cove, lower Tumbledown Cliffs, Bibby Point and the lower-middle Lewis Hill members. However, the Cenomanian age of the upper Tumbledown Cliffs and Rum Cove members, based on molluscan evidence, is not supported by the dinoflagellate cyst floras and further work is required on this succession. The uppermost part of the Whisky Bay Formation in north-west James Ross Island is of mid to late Turonian age and this is confirmed by strontium isotope stratigraphy. The uppermost unit, the Hidden Lake Formation, is Coniacian in age on both palaeontological and strontium isotope evidence. The uppermost part of the formation appears to be early Santonian based on dinoflagellate cysts, but strontium isotope stratigraphy constrains this as being no younger than late Coniacian. This refined palynostratigraphy greatly improves the potential of the James Ross Basin as a major Cretaceous Southern Hemisphere reference section. (C) 2003 Published by Elsevier Science Ltd.</t>
  </si>
  <si>
    <t>British Geol Survey, Keyworth NG12 5GG, Notts, England; British Antarctic Survey, Cambridge CB3 0ET, England</t>
  </si>
  <si>
    <t>UK Research &amp; Innovation (UKRI); Natural Environment Research Council (NERC); NERC British Geological Survey; UK Research &amp; Innovation (UKRI); Natural Environment Research Council (NERC); NERC British Antarctic Survey</t>
  </si>
  <si>
    <t>Riding, JB (corresponding author), British Geol Survey, Keyworth NG12 5GG, Notts, England.</t>
  </si>
  <si>
    <t>0195-6671</t>
  </si>
  <si>
    <t>CRETACEOUS RES</t>
  </si>
  <si>
    <t>Cretac. Res.</t>
  </si>
  <si>
    <t>10.1006/cres.2002.1024</t>
  </si>
  <si>
    <t>Geology; Paleontology</t>
  </si>
  <si>
    <t>692RD</t>
  </si>
  <si>
    <t>WOS:000183673300005</t>
  </si>
  <si>
    <t>Timofeev, SF</t>
  </si>
  <si>
    <t>Quantitative historiography of biological investigations of Antarctic krill in the former USSR</t>
  </si>
  <si>
    <t>Murmansk Marine Biol Inst, Murmansk 183010, Russia</t>
  </si>
  <si>
    <t>Russian Academy of Sciences</t>
  </si>
  <si>
    <t>Timofeev, SF (corresponding author), Murmansk Marine Biol Inst, Vladimirskaya St 17, Murmansk 183010, Russia.</t>
  </si>
  <si>
    <t>1568-5403</t>
  </si>
  <si>
    <t>10.1163/156854002321629826</t>
  </si>
  <si>
    <t>694YE</t>
  </si>
  <si>
    <t>WOS:000183802100008</t>
  </si>
  <si>
    <t>Ward, P; Whitehouse, M; Meredith, M; Murphy, E; Shreeve, R; Korb, R; Watkins, J; Thorpe, S; Woodd-Walker, R; Brierley, A; Cunningham, N; Grant, S; Bone, D</t>
  </si>
  <si>
    <t>The southern antarctic circumpolar current front: physical and biological coupling at South Georgia</t>
  </si>
  <si>
    <t>southern ocean; SACCF; fronts; production; zooplankton; krill</t>
  </si>
  <si>
    <t>KRILL EUPHAUSIA-SUPERBA; SCOTIA SEA; CHLOROPHYLL-A; POLAR FRONT; OCEAN; ECOSYSTEM; ATLANTIC; PHYTOPLANKTON; NUTRIENTS; PLANKTON</t>
  </si>
  <si>
    <t>The coupling of physics and biology was examined along a 160 km long transect running out from the north coast of South Georgia Island and crossing the Southern Antarctic Circumpolar Current Front (SACCF) during late December 2000. Surface and near surface potential TS properties indicated the presence of three water types: a near-shore group of stations characterised by water which became progressively warmer and fresher closer to South Georgia, an offshore grouping in which sea surface temperatures and those at the winter water level were relatively warm (1.8degreesC and 0.5degreesC, respectively), and a third in which surface and winter water temperatures were cooler and reflected the presence of the SACCF. The transect bisected the SACCF twice, revealing that it was flowing in opposite directions, north-westward closest to South Georgia and south-eastwards at its furthest point from the island. The innermost limb was a narrow intense feature located just off the shelf break in 2000-3500m of water and in which rapid surface baroclinic velocities (up to 35cm s(-1)) were encountered. Offshore in the outermost limb, shown subsequently to be a mesoscale eddy that had meandered south from the retroflected limb of the SACCF, flow was broader and slower with peak velocities around 20cm s(-1). Chlorophyll a biomass was generally low (&lt; 1 mg m(-3)) over much of the transect but increased dramatically in the region of the innermost limb of the SACCF, where a deepening of the surface mixed layer was coincident with a subsurface chlorophyll maximum (7.4 mg m(-3)) and elevated concentrations down to 100m. The bloom was coincident with depleted nutrient concentrations, particularly silicate, nitrate and phosphate, and although ammonium concentrations were locally depleted the bloom lay within an elevated band (up to 1.5 mmol m(-3)) associated with the frontal jet. Increased zooplankton abundance, higher copepod body carbon mass and egg production rates all showed a strong spatial integrity with the front. The population structure of the copepods Calanoides acutus and Rhincalanus gigas at stations within the front suggested that rather than simply resulting from entrainment and concentration within the jet, increased copepod abundance was the result of development in situ. Estimates of bloom duration, based on silicate and carbon budget calculations, set the likely duration between 82 and 122d, a figure supported by the development schedule of the two copepod species. Given this timescale, model outputs from FRAM and OCCAM indicated that particles that occurred on the north side of South Georgia in December would have been in the central-southern Scotia Sea 2-3 months earlier, probably in sea ice affected regions. (C) 2002 Elsevier Science Ltd. All rights reserved.</t>
  </si>
  <si>
    <t>British Antarctic Survey, NERC, Cambridge CB3 0ET, England; Univ St Andrews, Gatty Marine Lab, St Andrews KY16 8LB, Fife, Scotland</t>
  </si>
  <si>
    <t>UK Research &amp; Innovation (UKRI); Natural Environment Research Council (NERC); NERC British Antarctic Survey; University of St Andrews</t>
  </si>
  <si>
    <t>Ward, P (corresponding author), British Antarctic Survey, NERC, High Cross,Madingley Rd, Cambridge CB3 0ET, England.</t>
  </si>
  <si>
    <t>Cunningham, Nathan J/B-9591-2008; Brierley, Andrew/G-8019-2011</t>
  </si>
  <si>
    <t>Thorpe, Sally/0000-0002-5193-6955; Brierley, Andrew/0000-0002-6438-6892; Cunningham, Nathan/0000-0003-4941-504X; Meredith, Michael/0000-0002-7342-7756</t>
  </si>
  <si>
    <t>PII S0967-0637(02)00119-X</t>
  </si>
  <si>
    <t>10.1016/S0967-0637(02)00119-X</t>
  </si>
  <si>
    <t>645CW</t>
  </si>
  <si>
    <t>WOS:000180959500004</t>
  </si>
  <si>
    <t>Mackey, DJ; O'Sullivan, JE; Watson, RJ; Dal Pont, G</t>
  </si>
  <si>
    <t>Trace metals in the Western Pacific: temporal and spatial variability in the concentrations of Cd, Cu, Mn and Ni</t>
  </si>
  <si>
    <t>Sepik; Puyseger; Bismarck; Equatorial Undercurrent; New Guinea Coastal Undercurrent</t>
  </si>
  <si>
    <t>ATOMIC-ABSORPTION SPECTROMETRY; SUB-ANTARCTIC REGION; EQUATORIAL PACIFIC; MARINE GEOCHEMISTRY; SURFACE WATERS; ATLANTIC-OCEAN; NORTH PACIFIC; INDIAN-OCEAN; SEA-WATER; CADMIUM</t>
  </si>
  <si>
    <t>Profiles of total dissolvable Cd, Cu, Mn and Ni are reported for samples collected from the southwest Pacific in 1989, from the western equatorial Pacific along 155degreesE at 5degreesS, 0degrees and 5degreesN in 1990 and 1993, and along the equator from 143degreesE to 152degreesE and in the Bismarck Sea in 1997 and 2000. Profiles of Cd along 155degreesE in 1990 and along the equator were essentially the same but, in 1993, Cd values at 5degreesN were higher by a factor of about 1.5-2 than at 5degreesS over the depth range 500-1500 m. Similar, but less pronounced, differences were observed for PO4 and Ni. Cd and Ni were both strongly correlated with PO4, and an even stronger correlation was found between Ni and Cd. The concentration of Ni did not fall below approximate to2 nmol kg(-1), even in the nitrate-depleted waters of the western equatorial Pacific, where primary production is strongly dependent on recycled nitrogen (mainly ammonia and urea). It is proposed that this residual Ni is not bioavailable and that Ni could be biolimiting, since the metabolism of urea requires the nickel-containing enzyme urease. The impact of the Sepik River on Cd, Cu and Ni concentrations was small but elevated concentrations of Mn were observed near the Sepik River and close to the coast suggesting that the rivers and sediments on the north coast of New Guinea are a significant local source of Mn to the Bismarck Sea. Simple mass balance calculations show that the elevated levels of Mn observed in the Equatorial Undercurrent cannot be due to input from the rivers of New Guinea and they were attributed to the trapping of particulate matter due to strong current shear. A strong hydrothermal source of Mn was observed in the central Bismarck Sea. (C) 2002 Elsevier Science Ltd. All rights reserved.</t>
  </si>
  <si>
    <t>CSIRO, Marine Res, Hobart, Tas 7001, Australia</t>
  </si>
  <si>
    <t>Commonwealth Scientific &amp; Industrial Research Organisation (CSIRO)</t>
  </si>
  <si>
    <t>O'Sullivan, JE (corresponding author), CSIRO, Marine Res, POB 1538, Hobart, Tas 7001, Australia.</t>
  </si>
  <si>
    <t>Watson, Roslyn J./JVN-9055-2024</t>
  </si>
  <si>
    <t>PII S0967-0637(02)00124-3</t>
  </si>
  <si>
    <t>10.1016/S0967-0637(02)00124-3</t>
  </si>
  <si>
    <t>WOS:000180959500007</t>
  </si>
  <si>
    <t>Pucciarelli, S; Miceli, C; Melki, R</t>
  </si>
  <si>
    <t>Heterologous expression and folding analysis of a β-tubulin isotype from the Antarctic ciliate Euplotes focardii</t>
  </si>
  <si>
    <t>EUROPEAN JOURNAL OF BIOCHEMISTRY</t>
  </si>
  <si>
    <t>protein folding; chaperonin; CCT; cpn60; protozoa</t>
  </si>
  <si>
    <t>CYTOPLASMIC CHAPERONIN; CYTOSOLIC CHAPERONIN; ALPHA-TUBULIN; CCT-GAMMA; PROTEIN; GENE; DYNAMICS; BINDING; ACTIN; TCP-1</t>
  </si>
  <si>
    <t>Mammalian tubulins and actins attain their native conformation following interactions with CCT (the cytosolic chaperonin containing t-complex polypeptide 1). To study the beta-tubulin folding in lower eukaryotes, an isotype of beta-tubulin (beta-T1) from the Antarctic ciliate Euplotes focardii , was expressed in Escherichia coli . Folding analysis was performed by incubation of the (35) S-labeled, denatured beta-T1 in the presence, or absence, of purified rabbit CCT and cofactor A, a polypeptide that stabilizes folded monomeric beta-tubulin. We show for the first time in protozoa that beta-tubulin folding is assisted by CCT and requires cofactor A. In addition, we observed that E. focardii beta-T1 competes with human beta5 tubulin isotype for binding to CCT. The affinity of CCT to E. focardii beta-T1 and beta5 tubulin are compared. Finally, the mitochondrial chaperonin mt-cpn60 binds to beta-T1 but is unable to release it in a native or quasi-native state.</t>
  </si>
  <si>
    <t>Univ Camerino, Dipartimento Biol Mol Cellulare &amp; Anim, I-62032 Camerino, MC, Italy; CNRS, Lab Enzymol &amp; Biochim Struct, Gif Sur Yvette, France</t>
  </si>
  <si>
    <t>University of Camerino; Universite Paris Saclay; Centre National de la Recherche Scientifique (CNRS)</t>
  </si>
  <si>
    <t>Pucciarelli, S (corresponding author), Univ Camerino, Dipartimento Biol Mol Cellulare &amp; Anim, Via Camerini 2, I-62032 Camerino, MC, Italy.</t>
  </si>
  <si>
    <t>sandra.pucciarelli@unicam.it</t>
  </si>
  <si>
    <t>Pucciarelli, Sandra/0000-0003-4178-2689; Miceli, Cristina/0000-0002-7829-8471</t>
  </si>
  <si>
    <t>0014-2956</t>
  </si>
  <si>
    <t>EUR J BIOCHEM</t>
  </si>
  <si>
    <t>Eur. J. Biochem.</t>
  </si>
  <si>
    <t>10.1046/j.1432-1033.2002.03346.x</t>
  </si>
  <si>
    <t>624QW</t>
  </si>
  <si>
    <t>WOS:000179772800030</t>
  </si>
  <si>
    <t>Leakey, RJG; Leadbeater, BSC; Mitchell, E; McCready, SMM; Murray, AWA</t>
  </si>
  <si>
    <t>The abundance and biomass of choanoflagellates and other nanoflagellates in waters of contrasting temperature to the north-west of South Georgia in the Southern Ocean</t>
  </si>
  <si>
    <t>EUROPEAN JOURNAL OF PROTISTOLOGY</t>
  </si>
  <si>
    <t>nanoflagellates; choanoflagellates; Southern Ocean; biomass; temperature</t>
  </si>
  <si>
    <t>PHYTOPLANKTON COMMUNITY STRUCTURE; ICE-EDGE ZONE; WEDDELL SEA; SEASONAL-VARIATION; SARGASSO SEA; CELL-VOLUME; NANOPLANKTON; MARINE; ACANTHOECIDAE; ATLANTIC</t>
  </si>
  <si>
    <t>The abundance and biomass of different categories of autotrophic and heterotrophic nanoflagellates were determined in surface waters along a transect crossing the Polar Front to the north-west of South Georgia in the Southern Ocean during the austral summer 1996. In the nanoflagellate community 14 choanoflagellate species and 11 other taxonomic categories were recognised. Total nanoflagellate abundance and biomass during the study varied from 4-56 x 10(5) litre(-1) and from 3-20 mug C litre(-1) respectively, with highest abundance and biomass of both autotrophic and heterotrophic nanoflagellates recorded in surface waters to the north of the Polar Front. The most common choanoflagellates were Sicosta spinifera, Calliacantha spp., Diaphanoeca pedicellata and Parvicorbicula socialis. Of these Calliacantha spp. dominated warmer waters north of the Polar Front with B. spinifera dominating colder waters to the south. Positive relationships between several nanoflagellate categories and temperature were identified but no relationships were found with either chlorophyll a or bacterial biomass. Overall the study has revealed significant differences in the abundance, biomass and quantitative importance of different taxonomic categories of nanoflagellates in offshore waters of differing physico-chemical character north and south of the Polar Front. However, the factors responsible for the distribution of nanoflagellates remain unresolved.</t>
  </si>
  <si>
    <t>Scottish Assoc Marine Sci, Dunstaffnage Marine Lab, Oban PA37 1QA, Argyll, Scotland; Univ Birmingham, Sch Biol Sci, Birmingham B15 2TT, W Midlands, England; British Antarctic Survey, Cambridge CB3 0ET, England</t>
  </si>
  <si>
    <t>UHI Millennium Institute; University of Birmingham; UK Research &amp; Innovation (UKRI); Natural Environment Research Council (NERC); NERC British Antarctic Survey</t>
  </si>
  <si>
    <t>Scottish Assoc Marine Sci, Dunstaffnage Marine Lab, Oban PA37 1QA, Argyll, Scotland.</t>
  </si>
  <si>
    <t>r.leakey@dml.ac.uk</t>
  </si>
  <si>
    <t>ELSEVIER GMBH</t>
  </si>
  <si>
    <t>MUNICH</t>
  </si>
  <si>
    <t>HACKERBRUCKE 6, 80335 MUNICH, GERMANY</t>
  </si>
  <si>
    <t>0932-4739</t>
  </si>
  <si>
    <t>1618-0429</t>
  </si>
  <si>
    <t>EUR J PROTISTOL</t>
  </si>
  <si>
    <t>Eur. J. Protistol.</t>
  </si>
  <si>
    <t>10.1078/0932-4739-00860</t>
  </si>
  <si>
    <t>646HV</t>
  </si>
  <si>
    <t>WOS:000181030300002</t>
  </si>
  <si>
    <t>Barnes, DKA; De Grave, S</t>
  </si>
  <si>
    <t>Temporospatial constraints in resources available to and used by hermit crabs: tests of models</t>
  </si>
  <si>
    <t>FUNCTIONAL ECOLOGY</t>
  </si>
  <si>
    <t>Madagascar; multiple regression; niche maps and crypsis; shell use</t>
  </si>
  <si>
    <t>SHELL CHARACTERISTICS; QUIRIMBA ISLAND; ECOLOGY; COMPETITION; MOZAMBIQUE; SELECTION; PREDATION; COEXISTENCE; PREFERENCE</t>
  </si>
  <si>
    <t>1. Resources vary critically in space and time so the ability of animals to utilize them necessarily does so in sympathy. For hermit crabs in coastal SW Madagascar, a critical resource is a suitable shell to habit, as is typical of the group. Quantification of resource status should therefore be as straightforward as counting shells on a beach. Only certain shells are exploitable, however, based on their condition, occupier status and attributes (such as size). 2. The total, total exploitable and empty shell densities (size classed) per unit area were measured from the shallow subtidal to landward range (100 m inland) of hermit crabs. The population density of resource exploiters (hermit crabs) was also measured (grouped by size classes) over a similar area, enabling calculation of the total number of exploitable shells per individual (based on appropriate match of resource and resource user) and the nested subset of empty exploitable shells per individual. 3. Resource bottlenecks and surpluses occurred at different (resource exploiter) life stages and at different positions on the shore. The proportion of available shell types used by hermit crabs was found to increase down shore despite the number of shell types availability showing the converse pattern. 4. Multiple regression models of shell use by hermit crabs were constructed that showed species and genus level trends. Five or more variables were almost equally significant in each of the models. Overall hermit crab size, site, habitat and local shell diversity were most important in determining the number of shell types used. 5. The proportion of interspecific vs intraspecific competition at each shore level was estimated using observed species-specific shell use patterns and population size class sizes. Observed competition followed the predicted sigmoidal pattern across the littoral zone but that of intensity of competition was different and bimodal. 6. Ordination (detrended correspondence analysis) showed that resource exploiter (species) specific shell suites heavily overlap in multidimensional niche space as is near universally described in the literature. When shell suites are ordinated by size class, however, species niches separate, even across sites, except at sizes where resources are not restricted. Niches are distinct but cryptic.</t>
  </si>
  <si>
    <t>British Antarctic Survey, NERC, Cambridge CB3 0ET, England; Soc Environm Explorat, London EC2A 3QP, England; Univ Oxford, Museum Hist Nat, Oxford, England</t>
  </si>
  <si>
    <t>UK Research &amp; Innovation (UKRI); Natural Environment Research Council (NERC); NERC British Antarctic Survey; University of Oxford</t>
  </si>
  <si>
    <t>Barnes, DKA (corresponding author), British Antarctic Survey, NERC, High Cross,Madingley Rd, Cambridge CB3 0ET, England.</t>
  </si>
  <si>
    <t>De Grave, Sammy/0000-0002-2437-2445</t>
  </si>
  <si>
    <t>P O BOX 88, OSNEY MEAD, OXFORD OX2 0NE, OXON, ENGLAND</t>
  </si>
  <si>
    <t>0269-8463</t>
  </si>
  <si>
    <t>FUNCT ECOL</t>
  </si>
  <si>
    <t>Funct. Ecol.</t>
  </si>
  <si>
    <t>10.1046/j.1365-2435.2002.00677.x</t>
  </si>
  <si>
    <t>625EF</t>
  </si>
  <si>
    <t>WOS:000179803400002</t>
  </si>
  <si>
    <t>Legler, G</t>
  </si>
  <si>
    <t>'Moments of Being, an Antarctic Quintet'</t>
  </si>
  <si>
    <t>GEORGIA REVIEW</t>
  </si>
  <si>
    <t>Fiction, Creative Prose</t>
  </si>
  <si>
    <t>UNIV GEORGIA</t>
  </si>
  <si>
    <t>ATHENS</t>
  </si>
  <si>
    <t>GEORGIA REVIEW, ATHENS, GA 30602 USA</t>
  </si>
  <si>
    <t>0016-8386</t>
  </si>
  <si>
    <t>GEORGIA REV</t>
  </si>
  <si>
    <t>GA. Rev.</t>
  </si>
  <si>
    <t>WIN</t>
  </si>
  <si>
    <t>Literary Reviews</t>
  </si>
  <si>
    <t>Literature</t>
  </si>
  <si>
    <t>654ND</t>
  </si>
  <si>
    <t>WOS:000181502200016</t>
  </si>
  <si>
    <t>Watkins, JL; Brierley, AS</t>
  </si>
  <si>
    <t>Verification of the acoustic techniques used to identify Antarctic krill</t>
  </si>
  <si>
    <t>ICES JOURNAL OF MARINE SCIENCE</t>
  </si>
  <si>
    <t>dual-frequency acoustics; species discrimination; target identification; Target Strength models; Antarctic krill</t>
  </si>
  <si>
    <t>EUPHAUSIA-SUPERBA; SPECIES IDENTIFICATION; SOUTH GEORGIA; FISH SCHOOLS; ZOOPLANKTON; BACKSCATTERING; ABUNDANCE; BIOMASS; SOUND; KHZ</t>
  </si>
  <si>
    <t>Acoustic surveys to estimate krill biomass require that the sound backscattered by krill can be identified and distinguished from all other types of backscatter. Sampling acoustic targets with nets to verify their identity have achieved this traditionally. More recently backscattered sound has been partitioned into krill or non-krill groups using differences in mean volume backscattering strength (MVBS) at two acoustic frequencies (DeltaMVBS = MVBS120 - MVBS38; where DeltaMVBS between 2 and 12 dB indicated krill). Here we compare net and acoustic data from two cruises around South Georgia in 1996 to assess the reliability of acoustic-based, target-identification techniques. MVBS data at 120 and 38 kHz were collected with a Simrad EK500 echosounder and net samples were collected with an RMT8. Around 80% of the echo integration cells from targets believed to be krill on the basis of their appearance on echo-charts, were also identified as krill from their difference in backscatter at 38 and 120 kHz. Krill biomass estimated from acoustic targets identified using echo-chart appearance or DeltaMVBS were broadly similar (regression: DeltaMVBS = 0.94 visual classification, r(2) = 0.99). Krill size was calculated from scattering models using the two frequency data and compared with that obtained in net hauls. This comparison revealed that a simplified bent-cylinder model was a better predictor of krill length than a fluid-filled, sphere model. We conclude that use of DeltaMVBS to identify Antarctic krill is advantageous because it is more objective than using echo-chart appearance. (C) 2002 International Council for the Exploration of the Sea. Published by Elsevier Science Ltd. All rights reserved.</t>
  </si>
  <si>
    <t>Watkins, JL (corresponding author), British Antarctic Survey, High Cross,Madingley Rd, Cambridge CB3 0ET, England.</t>
  </si>
  <si>
    <t>1054-3139</t>
  </si>
  <si>
    <t>ICES J MAR SCI</t>
  </si>
  <si>
    <t>ICES J. Mar. Sci.</t>
  </si>
  <si>
    <t>10.1006/jmsc.2002.1309</t>
  </si>
  <si>
    <t>Fisheries; Marine &amp; Freshwater Biology; Oceanography</t>
  </si>
  <si>
    <t>622BQ</t>
  </si>
  <si>
    <t>WOS:000179627000018</t>
  </si>
  <si>
    <t>Cockell, CS</t>
  </si>
  <si>
    <t>The science and scientific legacy of Operation Chastise</t>
  </si>
  <si>
    <t>INTERDISCIPLINARY SCIENCE REVIEWS</t>
  </si>
  <si>
    <t>Operation Chastise, more often known as the 'Dambusters raids', was one of the most audacious aerial military operations of the Second World War, in that it made use of operationally untested technical innovations under extreme logistical constraints. Of particular interest is the scientific environment in which the mission was implemented. Here I review the principal scientific innovations that were necessary for the realisation of the mission. These went beyond the rotating depth charge itself. Simple but nevertheless ingenious methods for altitude and range finding were devised for low altitude flying, and the ne system of two stage blue day-night flying was implemented for simulated night flying. Even drugs to combat airsickness during low altitude flight in turbulence were tested. The diverse technical expertise that was necessary for the original idea it) he transformed into a logistical reality in less than three months provides a particularly lucid instance of effective scientific management in a framework of rapid technological change. I also describe an expedition inspired by these developments, which fifth years on used a dedicated low altitude night flying microlight aircraft (the Barnes Wallis Moth Machine) to catch insects over a rainforest canopy, illustrating the legacies that such missions can leave.</t>
  </si>
  <si>
    <t>0308-0188</t>
  </si>
  <si>
    <t>INTERDISCIPL SCI REV</t>
  </si>
  <si>
    <t>Interdiscip. Sci. Rev.</t>
  </si>
  <si>
    <t>10.1179/030801802225005734</t>
  </si>
  <si>
    <t>Multidisciplinary Sciences; Social Sciences, Interdisciplinary</t>
  </si>
  <si>
    <t>Science Citation Index Expanded (SCI-EXPANDED); Social Science Citation Index (SSCI)</t>
  </si>
  <si>
    <t>Science &amp; Technology - Other Topics; Social Sciences - Other Topics</t>
  </si>
  <si>
    <t>642FN</t>
  </si>
  <si>
    <t>WOS:000180793700006</t>
  </si>
  <si>
    <t>Yochelson, EL</t>
  </si>
  <si>
    <t>The coldest march: Scott's fatal Antarctic expedition.</t>
  </si>
  <si>
    <t>ISIS</t>
  </si>
  <si>
    <t>Book Review</t>
  </si>
  <si>
    <t>Natl Museum Nat Hist, Washington, DC 20560 USA</t>
  </si>
  <si>
    <t>Smithsonian Institution; Smithsonian National Museum of Natural History</t>
  </si>
  <si>
    <t>Yochelson, EL (corresponding author), Natl Museum Nat Hist, Washington, DC 20560 USA.</t>
  </si>
  <si>
    <t>0021-1753</t>
  </si>
  <si>
    <t>Isis</t>
  </si>
  <si>
    <t>10.1086/376018</t>
  </si>
  <si>
    <t>History &amp; Philosophy Of Science</t>
  </si>
  <si>
    <t>Science Citation Index Expanded (SCI-EXPANDED); Social Science Citation Index (SSCI); Arts &amp; Humanities Citation Index (A&amp;HCI)</t>
  </si>
  <si>
    <t>History &amp; Philosophy of Science</t>
  </si>
  <si>
    <t>657UR</t>
  </si>
  <si>
    <t>WOS:000181685200067</t>
  </si>
  <si>
    <t>Rankin, AM; Wolff, EW</t>
  </si>
  <si>
    <t>Aerosol profiling using a tethered balloon in coastal Antarctica</t>
  </si>
  <si>
    <t>JOURNAL OF ATMOSPHERIC AND OCEANIC TECHNOLOGY</t>
  </si>
  <si>
    <t>ATMOSPHERIC BOUNDARY-LAYER; SEA-SALT AEROSOL; SOUTH-POLE; DUMONT DURVILLE; PERUVIAN AMAZON; SNOW; CHEMISTRY; REGIONS; FLUXES; OZONE</t>
  </si>
  <si>
    <t>The composition of air near ground level is not necessarily representative of the troposphere as a whole. In particular in the Antarctic, stratification from the strong inversions often present and scavenging by blowing snow in the lowest part of the boundary layer may lead to air masses aloft being of different composition than those at ground level. The difference in aerosol composition with height in the Antarctic has been shown for the first time with a lightweight sampling system capable of being hoisted to heights of a few hundred meters on a helium-filled blimp. The system was tested at Halley research station in the Weddell Sea region of coastal Antarctica. On more than one occasion, air with a strong sea-salt aerosol component was found aloft, despite the air at ground level showing little marine influence. Meteorological instruments carried on the blimp just prior to one such flight indicated the presence of a strong inversion at the time.</t>
  </si>
  <si>
    <t>British Antarctic Survey, Div Phys Sci, Nat Environm Res Council, Cambridge CB3 0ET, England</t>
  </si>
  <si>
    <t>Rankin, AM (corresponding author), British Antarctic Survey, Div Phys Sci, Nat Environm Res Council, High Cross,Madingley Rd, Cambridge CB3 0ET, England.</t>
  </si>
  <si>
    <t>0739-0572</t>
  </si>
  <si>
    <t>J ATMOS OCEAN TECH</t>
  </si>
  <si>
    <t>J. Atmos. Ocean. Technol.</t>
  </si>
  <si>
    <t>10.1175/1520-0426(2002)019&lt;1978:APUATB&gt;2.0.CO;2</t>
  </si>
  <si>
    <t>Engineering, Ocean; Meteorology &amp; Atmospheric Sciences</t>
  </si>
  <si>
    <t>Engineering; Meteorology &amp; Atmospheric Sciences</t>
  </si>
  <si>
    <t>619GR</t>
  </si>
  <si>
    <t>WOS:000179468100007</t>
  </si>
  <si>
    <t>Burns, GB; Williams, PFB; Lowe, RP; French, WJR; Greet, PA; Monselesan, DP</t>
  </si>
  <si>
    <t>Argon auroral emissions</t>
  </si>
  <si>
    <t>JOURNAL OF ATMOSPHERIC AND SOLAR-TERRESTRIAL PHYSICS</t>
  </si>
  <si>
    <t>argon aurora; hydroxyl airglow</t>
  </si>
  <si>
    <t>SPECTROSCOPY; AIRGLOW; SPECTRA</t>
  </si>
  <si>
    <t>Argon is the third most abundant constituent of the atmosphere, but has not been previously detected by any ground-based optical remote sensing method. We report observation of argon emissions at lambda840.82 and lambda842.46 nm during intense aurora. These are most likely excited by direct electron impact. The maximum argon intensity observed is 270 R. Argon is the fifth elemental emission conclusively observed in geo-aurora, joining N, O, H and He. Crown Copyright (C) 2002 Published by Elsevier Science Ltd. All rights reserved.</t>
  </si>
  <si>
    <t>Australian Antarctic Div, Kingston, Tas 7050, Australia; Univ Western Ontario, Ctr Res Earth &amp; Space Technol, London, ON N6A 3K7, Canada; Univ Tasmania, Inst Antarctic &amp; So Ocean Studies, Hobart, Tas 7000, Australia; IPS Radio &amp; Space Serv, Sydney, NSW 2000, Australia</t>
  </si>
  <si>
    <t>Australian Antarctic Division; Western University (University of Western Ontario); University of Tasmania</t>
  </si>
  <si>
    <t>Burns, GB (corresponding author), Australian Antarctic Div, Channel Highway, Kingston, Tas 7050, Australia.</t>
  </si>
  <si>
    <t>Monselesan, Didier/A-2327-2012</t>
  </si>
  <si>
    <t>Monselesan, Didier/0000-0002-0310-8995; French, John/0000-0001-9305-6190</t>
  </si>
  <si>
    <t>1364-6826</t>
  </si>
  <si>
    <t>J ATMOS SOL-TERR PHY</t>
  </si>
  <si>
    <t>J. Atmos. Sol.-Terr. Phys.</t>
  </si>
  <si>
    <t>PII S1364-6826(02)00077-9</t>
  </si>
  <si>
    <t>614GN</t>
  </si>
  <si>
    <t>WOS:000179180100011</t>
  </si>
  <si>
    <t>Kumar, GS; Jagannadham, MV; Ray, MK</t>
  </si>
  <si>
    <t>Low-temperature-induced changes in composition and fluidity of lipopolysaccharides in the antarctic psychrotrophic bacterium Pseudomonas syringae</t>
  </si>
  <si>
    <t>JOURNAL OF BACTERIOLOGY</t>
  </si>
  <si>
    <t>OUTER-MEMBRANE; GROWTH TEMPERATURE; LIPID-A; ESCHERICHIA-COLI; FATTY-ACID; IDENTIFICATION; PURIFICATION; ADAPTATION; TRANSITION; PEPTIDE</t>
  </si>
  <si>
    <t>The Antarctic psychrotrophic bacterium Pseudomonas syringae was more sensitive to polymyxin B at a lower (4degreesC) temperature of growth than at a higher (22degreesC) temperature. The amount of hydroxy fatty acids in the lipopolysaccharides (LPS) also increased at the lower temperature. These changes correlated with the increase in fluidity of the hydrophobic phase of lipopolysaccharide aggregates in vitro.</t>
  </si>
  <si>
    <t>Ctr Cellular &amp; Mol Biol, Hyderabad 500007, Andhra Pradesh, India</t>
  </si>
  <si>
    <t>Council of Scientific &amp; Industrial Research (CSIR) - India; CSIR - Centre for Cellular &amp; Molecular Biology (CCMB)</t>
  </si>
  <si>
    <t>malay@www.ccmb.res.in</t>
  </si>
  <si>
    <t>Kumar, Dr Suresh/HHZ-2615-2022; Jagannadham, Medicharla V. V./AAW-6773-2021; Kumar, Gopinatha Suresh/W-1461-2019; Kumar, Senthil T/JCO-2901-2023; V, Santhosh kumar/JXL-8110-2024</t>
  </si>
  <si>
    <t>Kumar, Dr Suresh/0000-0002-2539-6553;</t>
  </si>
  <si>
    <t>AMER SOC MICROBIOLOGY</t>
  </si>
  <si>
    <t>1752 N ST NW, WASHINGTON, DC 20036-2904 USA</t>
  </si>
  <si>
    <t>0021-9193</t>
  </si>
  <si>
    <t>1098-5530</t>
  </si>
  <si>
    <t>J BACTERIOL</t>
  </si>
  <si>
    <t>J. Bacteriol.</t>
  </si>
  <si>
    <t>10.1128/JB.184.23.6746-6749.2002</t>
  </si>
  <si>
    <t>615JT</t>
  </si>
  <si>
    <t>WOS:000179242600043</t>
  </si>
  <si>
    <t>Last, PR; Yearsley, GK</t>
  </si>
  <si>
    <t>Zoogeography and relationships of Australasian skates (Chondrichthyes: Rajidae)</t>
  </si>
  <si>
    <t>JOURNAL OF BIOGEOGRAPHY</t>
  </si>
  <si>
    <t>skates; Rajidae; distribution; palaeobiogeography; bathymetry; relationships; Australia; New Zealand; New Caledonia; Sub Antarctic</t>
  </si>
  <si>
    <t>BIOGEOGRAPHY; RAJOIDEI</t>
  </si>
  <si>
    <t>Aim To investigate distributional patterns and derivation of skates in the Australasian realm. Location Australasia. Methods Genus-group skate taxa were defined for this region for the first time and new systematic information, as well as bathymetric and geographical data, used to identify distribution patterns. Results The extant skate fauna of Australasia (Australia, New Zealand, New Caledonia and adjacent subAntarctic dependencies) is highly diverse and endemic with sixty-two species from twelve currently recognized, nominal genus-group taxa. These include the hardnose skate (rajin) groups Anacanthobatis , Amblyraja , Dipturus , Okamejei , Rajella and Leucoraja , and softnose skate (arhynchobatin) genera Arhynchobatis , Bathyraja , Insentiraja , Irolita , Pavoraja and Notoraja . Additional new and currently unrecognized nominal taxa of both specific and supraspecific ranks also occur in the region. The subfamily Arhynchobatinae is particularly speciose in Australasia, and the New Zealand/New Caledonian fauna is dominated by undescribed supraspecific taxa and species. The Australian fauna, although well represented by arhynchobatins, is dominated by Dipturus -like skates and shows little overlap in species composition with the fauna of New Zealand and New Caledonia. Similarly, these faunas exhibit no overlap with the polar faunas of the Australian subAntarctic dependencies (Heard and Macdonald Islands) to the south. Skates appear to be absent from the Macquarie Ridge at the southern margin of the New Zealand Plateau. Their absence off New Guinea probably reflects inadequate sampling and the subsequent poor knowledge of that region's deepwater fish fauna. Main conclusions Skates appear to have existed in the eastern, Australasian sector of Gondwana before fragmentation in the late Cretaceous. The extant fauna appears to be derived from elements of Gondwanan origin, dispersal from the eastern and western Tethys Sea, and intraregional vicariance speciation.</t>
  </si>
  <si>
    <t>CSIRO Marine Res, Hobart, Tas 7001, Australia</t>
  </si>
  <si>
    <t>Last, PR (corresponding author), CSIRO Marine Res, GPO Box 1538, Hobart, Tas 7001, Australia.</t>
  </si>
  <si>
    <t>Last, Peter R/B-9740-2009</t>
  </si>
  <si>
    <t>0305-0270</t>
  </si>
  <si>
    <t>J BIOGEOGR</t>
  </si>
  <si>
    <t>J. Biogeogr.</t>
  </si>
  <si>
    <t>10.1046/j.1365-2699.2002.00793.x</t>
  </si>
  <si>
    <t>Ecology; Geography, Physical</t>
  </si>
  <si>
    <t>Environmental Sciences &amp; Ecology; Physical Geography</t>
  </si>
  <si>
    <t>624PB</t>
  </si>
  <si>
    <t>WOS:000179767400004</t>
  </si>
  <si>
    <t>Kawahara, H</t>
  </si>
  <si>
    <t>The structures and functions of ice crystal-controlling proteins from bacteria</t>
  </si>
  <si>
    <t>JOURNAL OF BIOSCIENCE AND BIOENGINEERING</t>
  </si>
  <si>
    <t>antifreeze protein; ice-nucleating protein; anti-nucleating protein; Antarctica</t>
  </si>
  <si>
    <t>PSEUDOMONAS-FLUORESCENS KUIN-1; ERWINIA-UREDOVORA KUIN-3; NUCLEATION ACTIVE GENE; ANTIFREEZE PROTEIN; ANTARCTIC ORIGIN; LOW-TEMPERATURE; PUTIDA GR12-2; IDENTIFICATION; NUCLEI; EXPRESSION</t>
  </si>
  <si>
    <t>Many organisms have evolved into unique mechanisms which minimize freezing injury due to extracellular ice formation. Specifically, certain bacteria have produced a few proteins each with different functions. For example, the ice nucleation protein acts as a template for ice formation, which is responsible for imparting ice nucleating activity. The anti-nucleating protein inhibits the fluctuation of ice nucleus formation by a foreign particle in the water drop. Also, the! antifreeze proteins depress the freezing temperature, modify or suppress ice crystal growth, inhibit ice recystallization, and protect the cell membrane from cold-induced damage. In this article, a review on the current knowledge of the structure and the function of these three types of proteins, which are capable of interacting with ice itself or its nuclei from bacteria.</t>
  </si>
  <si>
    <t>Kansai Univ, Fac Engn, Dept Biotechnol, Suita, Osaka 5648680, Japan</t>
  </si>
  <si>
    <t>Kansai University</t>
  </si>
  <si>
    <t>Kawahara, H (corresponding author), Kansai Univ, Fac Engn, Dept Biotechnol, 3-3-35 Yamate Cho, Suita, Osaka 5648680, Japan.</t>
  </si>
  <si>
    <t>SOC BIOSCIENCE BIOENGINEERING JAPAN</t>
  </si>
  <si>
    <t>OSAKA</t>
  </si>
  <si>
    <t>OSAKA UNIV, FACULTY ENGINEERING, 2-1 YAMADAOKA, SUITA, OSAKA, 565-0871, JAPAN</t>
  </si>
  <si>
    <t>1389-1723</t>
  </si>
  <si>
    <t>J BIOSCI BIOENG</t>
  </si>
  <si>
    <t>J. Biosci. Bioeng.</t>
  </si>
  <si>
    <t>10.1016/S1389-1723(02)80185-2</t>
  </si>
  <si>
    <t>Biotechnology &amp; Applied Microbiology; Food Science &amp; Technology</t>
  </si>
  <si>
    <t>648GZ</t>
  </si>
  <si>
    <t>WOS:000181143400002</t>
  </si>
  <si>
    <t>Salby, ML; Callaghan, PF</t>
  </si>
  <si>
    <t>Interannual changes of the stratospheric circulation: Relationship to ozone and tropospheric structure</t>
  </si>
  <si>
    <t>QUASI-BIENNIAL OSCILLATION; EXTRATROPICAL CIRCULATION; ARCTIC OSCILLATION; ANTARCTIC OZONE; ANNULAR MODES; GLOBAL QBO; VARIABILITY; TEMPERATURE</t>
  </si>
  <si>
    <t>Interannual changes of stratospheric dynamical structure and ozone are explored in observed variations over the Northern Hemisphere during the 1980s and 1990s. Changes of dynamical structure are consistent with a strengthening and weakening of the residual mean circulation of the stratosphere. It varies with the Eliassen-Palm (E-P) flux transmitted upward from the troposphere and, to a lesser degree, with the quasi-biennial oscillation (QBO). These two influences alone account for almost all of the interannual variance of wintertime temperature over the two decades, even during unusually cold winters. Stratospheric changes operating coherently with anomalous forcing of the residual circulation are coupled to changes of tropospheric wave structure. Those changes of dynamical structure share major features with the Arctic Oscillation. Both involve an amplification of the ridge over the North Pacific and an expansion of the North Atlantic storm track. Changes of tropospheric wave structure lead to a temperature signature of anomalous downwelling in the Arctic stratosphere. Accompanying it at a lower latitude is a temperature signature of anomalous upwelling. That compensating change operates coherently but out of phase with the temperature change over the Arctic. However, it is an order of magnitude smaller, making it difficult to isolate in individual years or in small systematic changes that characterize trends. Interannual changes of dynamical structure are mirrored by changes of total ozone. Like temperature, ozone changes are large at high latitudes. They are accompanied at lower latitudes by coherent changes of opposite sign. Those compensating changes, however, are an order of magnitude smaller-like temperature. Ozone changes operating coherently with anomalous forcing of the residual circulation track observed changes. They account for most of the interannual variance. What remains (about 20%) is largely accounted for by changes of the photochemical environment, associated with volcanic perturbations of aerosol and increasing chlorine. The close relationship between these changes and observed ozone is robust: It is obeyed even during years of unusually low ozone. Total ozone then deviates substantially from climatological-mean levels. However, it remains broadly consistent with the relationship deduced from the overall population of years.</t>
  </si>
  <si>
    <t>Univ Colorado, Boulder, CO 80309 USA</t>
  </si>
  <si>
    <t>Univ Colorado, Campus Box 311, Boulder, CO 80309 USA.</t>
  </si>
  <si>
    <t>10.1175/1520-0442(2003)015&lt;3673:ICOTSC&gt;2.0.CO;2</t>
  </si>
  <si>
    <t>625JY</t>
  </si>
  <si>
    <t>WOS:000179814400010</t>
  </si>
  <si>
    <t>Wharton, DA; Aalders, O</t>
  </si>
  <si>
    <t>The response of Anisakis larvae to freezing</t>
  </si>
  <si>
    <t>JOURNAL OF HELMINTHOLOGY</t>
  </si>
  <si>
    <t>NEMATODE PANAGROLAIMUS-DAVIDI; TOLERANT ANTARCTIC NEMATODE; RECRYSTALLIZATION; MECHANISMS; SUSHI</t>
  </si>
  <si>
    <t>Anisakis third stage larvae utilize a variety of fish as intermediate hosts. Uncooked fish are rendered safe for human consumption by freezing. Larvae freeze by inoculative freezing from the surrounding medium but can survive freezing at temperatures down to -10degreesC. This ability may be aided by the production of trehalose, which can act as a cryoprotectant, but does not involve recrystallization inhibition. Monitoring of fish freezing in commercial blast freezers and under conditions which simulate those of a domestic freezer, indicate that it can take a long time for all parts of the fish to reach a temperature that will kill the larvae. This, and the moderate freezing tolerance of larvae, emphasizes the need for fish to be frozen at a low enough temperature and for a sufficient time to ensure that fish are safe for consumption.</t>
  </si>
  <si>
    <t>Wharton, David/0000-0001-6369-4984</t>
  </si>
  <si>
    <t>C A B I PUBLISHING</t>
  </si>
  <si>
    <t>WALLINGFORD</t>
  </si>
  <si>
    <t>C/O PUBLISHING DIVISION, WALLINGFORD OX10 8DE, OXON, ENGLAND</t>
  </si>
  <si>
    <t>0022-149X</t>
  </si>
  <si>
    <t>J HELMINTHOL</t>
  </si>
  <si>
    <t>J. Helminthol.</t>
  </si>
  <si>
    <t>10.1079/JOH2002149</t>
  </si>
  <si>
    <t>Parasitology; Zoology</t>
  </si>
  <si>
    <t>623PJ</t>
  </si>
  <si>
    <t>WOS:000179711800012</t>
  </si>
  <si>
    <t>Karsten, RH; Marshall, J</t>
  </si>
  <si>
    <t>Constructing the residual circulation of the ACC from observations</t>
  </si>
  <si>
    <t>JOURNAL OF PHYSICAL OCEANOGRAPHY</t>
  </si>
  <si>
    <t>ANTARCTIC CIRCUMPOLAR CURRENT; SOUTHERN-OCEAN; EDDY TRANSPORTS; DYNAMICS; PHYSICS; EDDIES; MODEL; HEAT; FLUX</t>
  </si>
  <si>
    <t>The dynamics of the meridional overturning of the Antarctic Circumpolar Current (ACC) are best described in terms of a residual circulation that sums the transport of the wind-driven Ekman layer to the transport associated with eddies. Here an attempt is made to infer the residual circulation from observations by combining altimetric data and gridded hydrographic data to estimate eddy fluxes and winds to estimate Ekman transport. At the surface, a flow directed equatorward on the poleward flank of the ACC, and directed poleward on the equatorward flank of the ACC, is deduced. This convergence of flow into the axis of the ACC drives the subduction of the Antarctic Intermediate Water. Weak southward residual flow on the equatorward boundary of the ACC indicates that here Ekman transport is offset by eddy fluxes. The sense of the deduced residual circulation suggests that buoyancy is gained by the ocean through air-sea flux poleward of the ACC, in broad agreement with observations. The surface residual circulation is mapped down to depth to yield two counterrotating meridional cells associated with the transformation of North Atlantic Deep Water and Subantarctic Mode Water into Antarctic Intermediate Water. The circulation suggested by these cells agrees remarkably well with the subsurface distribution of salinity and dissolved oxygen. The dependence of the residual circulation estimate on the magnitude of assumed eddy transfer and mixing coefficients is discussed.</t>
  </si>
  <si>
    <t>Acadia Univ, Dept Math &amp; Stat, Wolfville, NS B4P 2R6, Canada; MIT, Dept Earth Atmospher &amp; Planetary Sci, Cambridge, MA USA</t>
  </si>
  <si>
    <t>Acadia University; Massachusetts Institute of Technology (MIT)</t>
  </si>
  <si>
    <t>Acadia Univ, Dept Math &amp; Stat, Wolfville, NS B4P 2R6, Canada.</t>
  </si>
  <si>
    <t>richard.karsten@acadiau.ca</t>
  </si>
  <si>
    <t>Karsten, Richard/0000-0003-0514-8533</t>
  </si>
  <si>
    <t>0022-3670</t>
  </si>
  <si>
    <t>1520-0485</t>
  </si>
  <si>
    <t>J PHYS OCEANOGR</t>
  </si>
  <si>
    <t>J. Phys. Oceanogr.</t>
  </si>
  <si>
    <t>10.1175/1520-0485(2002)032&lt;3315:CTRCOT&gt;2.0.CO;2</t>
  </si>
  <si>
    <t>623LT</t>
  </si>
  <si>
    <t>WOS:000179705000001</t>
  </si>
  <si>
    <t>Jayne, SR; Marotzke, J</t>
  </si>
  <si>
    <t>The oceanic eddy heat transport</t>
  </si>
  <si>
    <t>ANTARCTIC CIRCUMPOLAR CURRENT; EQUATORIAL PACIFIC-OCEAN; NORTH-ATLANTIC OCEAN; GULF-STREAM; NUMERICAL-MODEL; LONG WAVES; GEOSTATIONARY SATELLITE; CIRCULATION MODELS; INSTABILITY WAVES; SOUTHERN-OCEAN</t>
  </si>
  <si>
    <t>The rectified eddy heat transport is calculated from a global high-resolution ocean general circulation model. The eddy heat transport is found to be strong in the western boundary currents, the Antarctic Circumpolar Current, and the equatorial region. It is generally weak in the central gyres. It is also found to be largely confined to the upper 1000 m of the ocean model. The eddy heat transport is separated into its rotational and divergent components. The rotational component of the eddy heat transport is strong in the western boundary currents, while the divergent component is strongest in the equatorial region and Antarctic Circumpolar Current. In the equatorial region, the eddy heat transport is due to tropical instability waves, while in the western boundary currents and the Antarctic Circumpolar Current the large eddy heat transports arise from the meandering of the currents. Stammer's method for estimating the eddy heat transport from an eddy diffusivity derived from mixing length arguments, using altimetry data and the climatological temperature field, is tested and fails to reproduce the model's directly evaluated eddy heat transport in the equatorial regions, and possible reasons for the discrepancy are explored. However, in the Antarctic Circumpolar Current region and to a lesser extent in the western boundary currents, the model's eddy heat transport is shown to have some qualitative agreement with his estimate.</t>
  </si>
  <si>
    <t>Woods Hole Oceanog Inst, Dept Phys Oceanog, Woods Hole, MA 02543 USA; Southampton Oceanog Ctr, Sch Ocean &amp; Earth Sci, Southampton, Hants, England</t>
  </si>
  <si>
    <t>Woods Hole Oceanographic Institution; NERC National Oceanography Centre; University of Southampton</t>
  </si>
  <si>
    <t>Jayne, SR (corresponding author), Woods Hole Oceanog Inst, Dept Phys Oceanog, MS 21,360 Woods Hole Rd, Woods Hole, MA 02543 USA.</t>
  </si>
  <si>
    <t>Jayne, Steven/0000-0001-7999-0147</t>
  </si>
  <si>
    <t>10.1175/1520-0485(2002)032&lt;3328:TOEHT&gt;2.0.CO;2</t>
  </si>
  <si>
    <t>WOS:000179705000002</t>
  </si>
  <si>
    <t>Saenko, OA; Schmittner, A; Weaver, AJ</t>
  </si>
  <si>
    <t>On the role of wind-driven sea ice motion on ocean ventilation</t>
  </si>
  <si>
    <t>ANTARCTIC INTERMEDIATE WATER; CLIMATE MODEL; BOTTOM WATER; CIRCULATION; SENSITIVITY; SIMULATIONS; SCHEMES; CO2</t>
  </si>
  <si>
    <t>Simulations with a coupled ocean-atmosphere-sea ice model are used to investigate the role of wind-driven sea ice motion on ocean ventilation. Two model experiments are analyzed in detail: one including and the other excluding wind-driven sea ice transport. Model-simulated concentrations of chlorofluorocarbons (CFCs) are compared with observations from the Weddell Sea, the southeastern Pacific, and the North Atlantic. The authors show that the buoyancy fluxes associated with sea ice divergence control the sites and rates of deep- and intermediate-water formation in the Southern Ocean. Divergence of sea ice along the Antarctic perimeter facilitates bottom-water formation in the Weddell and Ross Seas. Neglecting wind-driven sea ice transport results in unrealistic bottom-water formation in Drake Passage and too-strong convection along the Southern Ocean sea ice margin, whereas convection in the Weddell and Ross Seas is suppressed. The freshwater fluxes implicitly associated with sea ice export also determine the intensity of the gyre circulation and the rate of downwelling in the Weddell Sea. In the North Atlantic, the increased sea ice export from the Arctic weakens and shallows the meridional overturning cell. This results in a decreased surface flux of CFCs around 65degreesN by about a factor of 2. At steady state, convection in the North Atlantic is found to be less affected by the buoyancy fluxes associated with sea ice divergence when compared with that in the Southern Ocean.</t>
  </si>
  <si>
    <t>Univ Victoria, Sch Earth &amp; Ocean Sci, POB 3055, Victoria, BC V8W 3P6, Canada.</t>
  </si>
  <si>
    <t>oleg@ocean.seos.uvic.ca</t>
  </si>
  <si>
    <t>Schmittner, Andreas/O-9647-2015; Schmittner, Andreas/A-3101-2008; Weaver, Andrew J/E-7590-2011</t>
  </si>
  <si>
    <t>Schmittner, Andreas/0000-0002-8376-0843; Weaver, Andrew J/0000-0001-8919-3598</t>
  </si>
  <si>
    <t>45 BEACON ST, BOSTON, MA 02108-3693, UNITED STATES</t>
  </si>
  <si>
    <t>10.1175/1520-0485(2002)032&lt;3376:OTROWD&gt;2.0.CO;2</t>
  </si>
  <si>
    <t>WOS:000179705000005</t>
  </si>
  <si>
    <t>Rijstenbil, JW</t>
  </si>
  <si>
    <t>Assessment of oxidative stress in the planktonic diatom Thalassiosira pseudonana in response to UVA and UVB radiation</t>
  </si>
  <si>
    <t>JOURNAL OF PLANKTON RESEARCH</t>
  </si>
  <si>
    <t>ULTRAVIOLET-B RADIATION; FREE-RADICAL PRODUCTION; INDUCED DNA-DAMAGE; LIPID-PEROXIDATION; CHLORELLA-VULGARIS; MARINE DIATOM; PHYTOPLANKTON COMMUNITIES; ANTARCTIC PHYTOPLANKTON; PERIDINIUM-GATUNENSE; DITYLUM-BRIGHTWELLII</t>
  </si>
  <si>
    <t>Induction of oxidative stress by UVA and UVB in the diatom Thalassiosira pseudonana was experimentally studied. Cells, pre-grown in a light-limited continuous culture, were incubated for 4 h at 175 mumol m(-2) s(-1) photosynthetically active radiation, with optional supplementary UVA at an unweighted dose rate of 0.70 W m(-2), or 2.79 W m(-2) UVA plus 0.45 W m(-2) UVB (unweighted). A fluorescence-based measure of photosynthetic efficiency (F-v/F-m) decreased from 0.69 to 0.58 in the presence of UVB, whereas UVA caused a minor decrease of F-v/F-m. Quantitative analysis of confocal images showed a minor increase of active oxygen production associated with supplemental UVA alone, and a 100% increase with additional UVB. Cellular malondialdehyde, an indicator of lipid peroxidation by active oxygen, almost doubled under UVA and increased three-fold with additional UVB. Activities of superoxide dismutase (scavenging active oxygen) and glutathione reductase (reducing GSSG to GSH) increased in response to UVB exposure, whereas ascorbate peroxidase activities did not. UVB caused a minor decrease in the glutathione ratio GSH : (GSH + 0.5GSSG), which indicates a moderate oxidative stress.</t>
  </si>
  <si>
    <t>Ctr Estuarine &amp; Marine Ecol NIOO KNAW, Netherlands Inst Ecol, Dept Marine Microbiol, NL-4400 AC Yerseke, Netherlands</t>
  </si>
  <si>
    <t>Royal Netherlands Academy of Arts &amp; Sciences; Netherlands Institute of Ecology (NIOO-KNAW)</t>
  </si>
  <si>
    <t>Rijstenbil, JW (corresponding author), Ctr Estuarine &amp; Marine Ecol NIOO KNAW, Netherlands Inst Ecol, Dept Marine Microbiol, POB 140, NL-4400 AC Yerseke, Netherlands.</t>
  </si>
  <si>
    <t>0142-7873</t>
  </si>
  <si>
    <t>J PLANKTON RES</t>
  </si>
  <si>
    <t>J. Plankton Res.</t>
  </si>
  <si>
    <t>10.1093/plankt/24.12.1277</t>
  </si>
  <si>
    <t>622WB</t>
  </si>
  <si>
    <t>WOS:000179669200003</t>
  </si>
  <si>
    <t>Collins, MA</t>
  </si>
  <si>
    <t>Cirrate octopods from Greenland and Iceland waters</t>
  </si>
  <si>
    <t>JOURNAL OF THE MARINE BIOLOGICAL ASSOCIATION OF THE UNITED KINGDOM</t>
  </si>
  <si>
    <t>CEPHALOPODS</t>
  </si>
  <si>
    <t>Three species of cirrate octopod are reported from deep-sea collections around the coasts of Greenland and Iceland in the North Atlantic. Twenty-one specimens of Stauroteuthis syrtensis were caught from east and west Greenland at depths of 258-1321 in, representing a considerable geographic and bathymetric extension of the range. Nine specimens of a putative new species of the genus Opisthoteuthis are reported, and are the first records of this genus in the area. Nineteen specimens of the circum-Arctic species Cirroteuthis muelleri add significantly to our knowledge of the distribution this species. Latitudinal patterns in the bathymetric distribution of C. muelleri and S. syrtensis suggest temperature is the principal controlling factor.</t>
  </si>
  <si>
    <t>Univ Aberdeen, Dept Zool, Aberdeen AB24 2TZ, Scotland</t>
  </si>
  <si>
    <t>University of Aberdeen</t>
  </si>
  <si>
    <t>Collins, MA (corresponding author), British Antarctic Survey, NERC, High Cross,Madingley Rd, Cambridge CB3 0ET, England.</t>
  </si>
  <si>
    <t>, Martin/ABE-6728-2020; Collins, Martin A/J-8560-2017</t>
  </si>
  <si>
    <t>, Martin/0000-0001-7132-8650;</t>
  </si>
  <si>
    <t>0025-3154</t>
  </si>
  <si>
    <t>J MAR BIOL ASSOC UK</t>
  </si>
  <si>
    <t>J. Mar. Biol. Assoc. U.K.</t>
  </si>
  <si>
    <t>10.1017/S0025315402006616</t>
  </si>
  <si>
    <t>642YK</t>
  </si>
  <si>
    <t>WOS:000180834800021</t>
  </si>
  <si>
    <t>Cherel, Y; Weimerskirch, H; Trouvé, C</t>
  </si>
  <si>
    <t>Dietary evidence for spatial foraging segregation in sympatric albatrosses (Diomedea spp.) rearing chicks at Iles Nuageuses, Kerguelen</t>
  </si>
  <si>
    <t>MARINE BIOLOGY</t>
  </si>
  <si>
    <t>BLACK-BROWED ALBATROSSES; SOUTHERN INDIAN-OCEAN; ANTARCTIC MARION ISLAND; EUPHAUSIA-SUPERBA DANA; THICK-BILLED MURRES; PRYDZ BAY-REGION; FEEDING ECOLOGY; BIOMASS ESTIMATION; SEABIRDS; WATERS</t>
  </si>
  <si>
    <t>The food of three closely related and sympatric species of mollymawks (Diomedea spp.), the black-browed (BBA, D. melanophrys), grey-headed (GHA, D. chrysostoma) and yellow-nosed (YNA, D. chlororhynchos) albatrosses, was compared at Iles Nuageuses, Kerguelen, during the chick-rearing period. BBA preyed almost equally upon cephalopods (39% by fresh mass), fish (31 %) and penguins (31 %), while GHA fed more on squids (52%, 16% and 28%, respectively) and YNA fed more on fish and not on penguins (13%, 84% and 0%, respectively). Crustaceans were always a minor component of the diet ( &lt; 3%). Patagonian toothfish was the main fish prey, and Todarodes sp. the main cephalopod prey for the community. Accumulated beaks emphasise the importance of juvenile ommastrephid squids in the diet of mollymawks, accounting for 81%, 71 % and 55% of the total number of beaks in BBA, GHA and YNA samples, respectively. BBA preyed also upon a significant number of the octopod Benthoctopus thielei (12%) and of the cranchiid squid Galiteuthis glacialis (4%), while GHA fed more on G. glacialis (18%) and on the onychoteuthid Kondakovia longimana (8%). When feeding on the same prey, prey size was similar for the albatross species. Comparison of overall prey biogeography together with the presence/absence of prey species indicators of water masses indicates segregation through different foraging areas among the three mollymawks. BBA forage almost exclusively over the shelf and upper slope waters surrounding the Kerguelen Archipelago. By contrast, GHA and YNA feed mainly in oceanic waters, YNA favouring the warm subtropical waters, and GHA the cold Antarctic waters. It is thus remarkable that birds from the same breeding grounds forage over such a wide latitudinal range, from about 35-40 S to 60-65 S, encompassing the Subtropical Zone for YNA, the Antarctic Zone for GHA and the Antarctic Polar Frontal Zone (where Kerguelen is located) for the three species.</t>
  </si>
  <si>
    <t>Ctr Etud Biol Chize, UPR 1934 CNRS, F-79360 Villiers En Bois, France</t>
  </si>
  <si>
    <t>Cherel, Y (corresponding author), Ctr Etud Biol Chize, UPR 1934 CNRS, BP 14, F-79360 Villiers En Bois, France.</t>
  </si>
  <si>
    <t>0025-3162</t>
  </si>
  <si>
    <t>MAR BIOL</t>
  </si>
  <si>
    <t>Mar. Biol.</t>
  </si>
  <si>
    <t>10.1007/s00227-002-0907-5</t>
  </si>
  <si>
    <t>629HM</t>
  </si>
  <si>
    <t>WOS:000180044300014</t>
  </si>
  <si>
    <t>Lynnes, AS; Reid, K; Croxall, JP; Trathan, PN</t>
  </si>
  <si>
    <t>Conflict or co-existence? Foraging distribution and competition for prey between Adelie and chinstrap penguins</t>
  </si>
  <si>
    <t>SOUTH-ORKNEY ISLANDS; KING-GEORGE-ISLAND; SEA-ICE; PYGOSCELIS-ANTARCTICA; SIGNY ISLAND; KRILL; FOOD; AVAILABILITY; POPULATIONS; RESPONSES</t>
  </si>
  <si>
    <t>Adelie (Pygoscelis adeliae) and chinstrap penguins (P. antarctica) are morphologically and ecologically very similar, have very similar diet and breed sympatrically in the Scotia Arc from the South Sandwich Islands to the Antarctic Peninsula. To investigate how these two species co-exist, their foraging distribution and diet were studied during the chick-rearing period at Signy Island, South Orkney Islands, during the breeding seasons of 2000 and 2001. Satellite tracking data from of 19 Adelie penguins and 24 chinstrap penguins were used to compare foraging distributions. In both years the diet of both species was exclusively Antarctic krill (Euphausia superba) of the same size range. In a year of low prey availability (2000), there was a statistically significant segregation of foraging areas between the two species, however, in a year of normal resource availability (2001) there was no such segregation. There was a significant difference in the foraging areas used by Adelie penguins between years but not for chinstrap penguins. Adelie penguins foraged significantly farther (mean 100 km) from the colony than chinstrap penguins (mean 58 km) in 2000 but not in 2001 (mean 58 km and 35 km respectively). In 2000, the breeding success of Adelie penguins was 51% lower than the long-term mean compared to 15% lower in chinstrap penguins. Both species achieved above average breeding success in 2001. The changes in foraging distribution and breeding success suggest that in years of low resource availability, chinstrap penguins may be able to competitively exclude Adelie penguins from potential inshore foraging areas. Current trends in climatic change and possible effects on ice distribution and krill abundance suggest that conditions could become less favourable for Adelie penguins than chinstrap penguins in areas where both species occur.</t>
  </si>
  <si>
    <t>Reid, K (corresponding author), British Antarctic Survey, NERC, High Cross,Madingley Rd, Cambridge CB3 0ET, England.</t>
  </si>
  <si>
    <t>10.1007/s00227-002-0899-1</t>
  </si>
  <si>
    <t>WOS:000180044300018</t>
  </si>
  <si>
    <t>Fusco, G; Flocco, D; Budillon, G; Spezie, G; Zambianchi, E</t>
  </si>
  <si>
    <t>Fusco, Giannetta; Flocco, Daniela; Budillon, Giorgio; Spezie, Giancarlo; Zambianchi, Enrico</t>
  </si>
  <si>
    <t>Dynamics and Variability of Terra Nova Bay Polynya</t>
  </si>
  <si>
    <t>MARINE ECOLOGY-PUBBLICAZIONI DELLA STAZIONE ZOOLOGICA DI NAPOLI I</t>
  </si>
  <si>
    <t>Air-sea exchange; dense water formation; High Salinity Shelf Water; ice production; polynya; Antarctic oceanography</t>
  </si>
  <si>
    <t>SEA</t>
  </si>
  <si>
    <t>We present a process study on the dynamics and variability of the Terra Nova Bay polynya in the western sector of the Ross Sea. The air-sea heat exchange is known to be particularly large in polynyas during the winter, when differences between air and sea temperatures are large. We apply a 1-D model (Pease, 1987; Van Woert, 1999a, 1999b), which is modified in the latent heat parameterisation in order to account for time-dependent relative humidity and cloud coverage. Furthermore, the Ice Collection Depth is correlated linearly with a variable wind speed. The model is forced with two different meteorological data sets: the operational analysis of the European Center for Medium Range Weather Forecasts atmospheric data set and the meteorological parameters measured by an Automatic Weather Station located on the coast of Terra Nova Bay. The results are compared in terms of polynya extension, ice, and High Salinity Shelf Water production. According to the two different wind velocities, the results obtained from the different data sets clearly differ. Qualitatively, however, the results are in good agreement.</t>
  </si>
  <si>
    <t>[Fusco, Giannetta] ENEA CRAM, I-19100 La Spezia, Italy; [Fusco, Giannetta; Flocco, Daniela; Budillon, Giorgio; Spezie, Giancarlo; Zambianchi, Enrico] Univ Napoli PARTHENOPE, Ist Meteorol &amp; Oceanog, Naples, Italy; [Flocco, Daniela] Univ Cambridge, Scott Polar Res Inst, Cambridge CB2 1TN, England</t>
  </si>
  <si>
    <t>Parthenope University Naples; University of Cambridge</t>
  </si>
  <si>
    <t>Fusco, G (corresponding author), ENEA CRAM, POB 224, I-19100 La Spezia, Italy.</t>
  </si>
  <si>
    <t>fusco@santateresa.enea.it</t>
  </si>
  <si>
    <t>zambianchi, enrico/KGK-8209-2024; Fusco, Giannetta/J-5118-2019; Flocco, Daniela/ISA-8644-2023</t>
  </si>
  <si>
    <t>zambianchi, enrico/0000-0001-5474-7466; Fusco, Giannetta/0000-0003-1769-2456; Flocco, Daniela/0000-0002-0025-5359</t>
  </si>
  <si>
    <t>ENEA</t>
  </si>
  <si>
    <t>ENEA(ENEA, Italy)</t>
  </si>
  <si>
    <t>This study was performed as part of the CLIMA (Climatic Long-term Interactions for the Mass-balance in Antarctica) project of PNRA (the Italian National Program for Antarctic Research) and was financially supported by ENEA through a joint research program. The operational analysis data were supplied by ECMWF. The authors wish to thank A. Accornero for useful discussions.</t>
  </si>
  <si>
    <t>0173-9565</t>
  </si>
  <si>
    <t>MAR ECOL-P S Z N I</t>
  </si>
  <si>
    <t>Mar. Ecol.-Pubbl. Stn. Zool. Napoli</t>
  </si>
  <si>
    <t>10.1111/j.1439-0485.2002.tb00019.x</t>
  </si>
  <si>
    <t>V22XZ</t>
  </si>
  <si>
    <t>WOS:000208309200019</t>
  </si>
  <si>
    <t>Ianni, C; Rivaro, P; Frache, R</t>
  </si>
  <si>
    <t>Ianni, Carmela; Rivaro, Paola; Frache, Roberto</t>
  </si>
  <si>
    <t>Distribution of Dissolved and Particulate Iron, Copper and Manganese in the Shelf Waters of the Ross Sea (Antarctica)</t>
  </si>
  <si>
    <t>Ross Sea; dissolved metals; particulate metals; micronutrients; nutrients; oxygen</t>
  </si>
  <si>
    <t>BLOOMS</t>
  </si>
  <si>
    <t>During the austral summer 1997-98, within the framework of the activities of the Climatic Long-term Interaction for the Massbalance in Antarctica (CLIMA) Project of the Italian National Program for Antarctic Research (PNRA) in the Ross Sea, measurements were conducted to focus on the role of dissolved iron, copper and manganese as micronutrients, and on their distribution in suspended particulate matter in different water masses. Sampling was carried out in two selected shelf areas, both important for formation and mixing processes of the water bodies. Metal data were evaluated together with physical measurements and classical chemical parameters such as oxygen and nutrients. In both the studied areas, the distribution of dissolved metals along the water column confirmed their micronutrient behaviour, showing depletion where phytoplanktonic activities occurred. The trend of particulate metals underlined the scavenging phenomena along the water column and presented an interesting correlation at intermediate depths with the amount and origin of suspended matter.</t>
  </si>
  <si>
    <t>[Ianni, Carmela; Rivaro, Paola; Frache, Roberto] Univ Genoa, Sez Chim Analit &amp; Ambientale, Dipartimento Chim &amp; Chim Ind, I-16146 Genoa, Italy</t>
  </si>
  <si>
    <t>Ianni, C (corresponding author), Univ Genoa, Sez Chim Analit &amp; Ambientale, Dipartimento Chim &amp; Chim Ind, Via Dodecaneso 31, I-16146 Genoa, Italy.</t>
  </si>
  <si>
    <t>ianni@chimica.unige.it</t>
  </si>
  <si>
    <t>Rivaro, Paola/I-8305-2012</t>
  </si>
  <si>
    <t>We are grateful to Dr. Massimo De Stefano for the skilled operation of the CTD and for providing us with the physycal data. We wish to thank Prof. Serena Fonda Umani and Dr. Paola Ramani for chlorophyll and phaeopigments data. This study was performed as part of the Italian National Program for Research in Antarctica and financially supported by ENEA through a joint research program.</t>
  </si>
  <si>
    <t>10.1111/j.1439-0485.2002.tb00020.x</t>
  </si>
  <si>
    <t>WOS:000208309200020</t>
  </si>
  <si>
    <t>Minutoli, R; Fossi, MC; Guglielmo, L</t>
  </si>
  <si>
    <t>Minutoli, Roberta; Fossi, Maria Cristina; Guglielmo, Letterio</t>
  </si>
  <si>
    <t>Potential Use of Biomarkers in Zooplankton as Early Warning Signals of Ecotoxicological Risk in the Marine Food Chain</t>
  </si>
  <si>
    <t>Zooplanktonic crustaceans; benthic decapods; marine environment; brackish environment; biomarkers; esterases</t>
  </si>
  <si>
    <t>CARCINUS-AESTUARII; TOXICOLOGICAL RISK; ANTARCTIC FISH; MFO ACTIVITY; INDUCTION; POLYCHLOROBIPHENYLS; FIELD</t>
  </si>
  <si>
    <t>Zooplankton is an essential component of the marine and brackish food chains. The ecotoxicological risk of zooplanktonic communities, estimated by the modern methodological approach of biomarkers, can be used as an early warning signal of ecosystem health. The aim of this project is to estimate the potential use of several biomarkers (esterases, mixed function oxidases, porphyrins) in zooplanktonic organisms. Studies were carried out with different zooplanktonic crustaceans: the copepods Acartia margalefi and Acartia latisetosa collected in Ganzirri Lake (Messina); the mysid Siriella clausi collected in Faro Lake (Messina); the mysids Diamysis bahirensis, Siriella armata and Mysidopsis gibbosa collected in Stagnone di Marsala (Palermo); the Antarctic euphausiids Euphausia crystallorophias and Euphausia superba; the amphipod Streetsia challengeri and the euphausiid Meganycthiphanes norvegica collected after a shore-stranding along Messina's Ionian coast. Moreover, experiments were carried out with the benthic decapods Eriphia verrucosa and Pachygrapsus marmoratus from a rocky shore of Messina's Ionian coast. Acetylcholinesterase activity (AChE) was determined in homogenates of whole organisms. The key result of this project concerns the different AChE activity basal values of different crustacean species. Particular attention should be paid to the difference in basal activity found between the Antarctic and the Mediterranean species.</t>
  </si>
  <si>
    <t>[Minutoli, Roberta; Fossi, Maria Cristina; Guglielmo, Letterio] Univ Messina, Dept Anim Biol &amp; Marine Ecol, I-98166 Messina, Italy</t>
  </si>
  <si>
    <t>University of Messina</t>
  </si>
  <si>
    <t>Minutoli, R (corresponding author), Univ Messina, Dept Anim Biol &amp; Marine Ecol, Salita Sperone 31, I-98166 Messina, Italy.</t>
  </si>
  <si>
    <t>zooplancton@unime.it</t>
  </si>
  <si>
    <t>Fossi, Maria Cristina/0000-0003-0836-4020; GUGLIELMO, Letterio/0000-0001-7547-8058</t>
  </si>
  <si>
    <t>10.1111/j.1439-0485.2002.tb00027.x</t>
  </si>
  <si>
    <t>WOS:000208309200027</t>
  </si>
  <si>
    <t>Tucci, S; Bergamasco, A; Capello, M; Carniel, S</t>
  </si>
  <si>
    <t>Tucci, Sergio; Bergamasco, Andrea; Capello, Marco; Carniel, Sandro</t>
  </si>
  <si>
    <t>Particulate Matter in the Ross Sea: a Spreading Model</t>
  </si>
  <si>
    <t>Antarctica; Ross Sea; suspended sediment; numerical model; particulate matter</t>
  </si>
  <si>
    <t>Within the framework of the C.L.I.M.A. Project, a part of the Italian Research Program in Antarctica, the Total Particulate Matter (TPM) was used as a natural marker to characterise the water masses. The dynamics of TPM was estimated by using a numerical model capable of following the evolution of the basin during the ice absence in summer. The first numerical simulation, with horizontally constant initial conditions and the absence of TPM source areas, merely reveals how TPM passive dispersion is strongly influenced by the Ross Ice Shelf and bathymetry. The second simulation, with TPM concentration horizontally variable and vertically decreasing layers, shows a dynamic evolution of TPM that is in agreement with experimental data. On the surface, in correspondence with the shelf-break, an out-flowing flux with particulate matter contribution coming from Ross Ice Shelf is recognised. The TPM concentration may be linked to the ice melting due to the Antarctic Surface Water, with production of Shallow Ice Shelf Water. The numerical model produces, near the Drygalski area, two cells with high concentration. This numerical evolution is confirmed by the 1990 data (Spezie et al, 1993) that clearly show these two areas and their correlations with the Drygalski contributions (the inner area) and with the thermohaline front (the external one). This condition is evident in the 1994-1995 data too (Budillon et al, 1999). In this case the authors observed that the Circumpolar Deep Water penetrates onto the shelf at about 174 degrees E; then, modifying its properties, it follows a southward path for about 200 km. The Antarctic Shelf Front (ASF) separates CDW from the colder shelf water with a high concentration of suspended matter. At the 300-meter level, the diffusion of the particulate matter directed under the RIS, towards the continental shelf, seems to be an important feature. Very high TPM values are also present in the deep water in the area off the Drygalski Glacier; this evolution agrees with the -400 m data collected during the 1990-1991 cruise (Spezie et al., 1993).</t>
  </si>
  <si>
    <t>[Tucci, Sergio; Capello, Marco] Dipartimento Studio Terr &amp; Risorse, I-16132 Genoa, Italy; [Bergamasco, Andrea; Carniel, Sandro] Ist Studio Dinam Grandi Masse, I-30125 Venice, Italy</t>
  </si>
  <si>
    <t>Tucci, S (corresponding author), Dipartimento Studio Terr &amp; Risorse, Corso Europa 26, I-16132 Genoa, Italy.</t>
  </si>
  <si>
    <t>tucci@dipteris.unige.it</t>
  </si>
  <si>
    <t>; Carniel, Sandro/J-9278-2012</t>
  </si>
  <si>
    <t>CAPELLO, MARCO/0000-0003-4048-7557; Bergamasco, Alessandro/0000-0003-3138-8418; Carniel, Sandro/0000-0001-8317-1603</t>
  </si>
  <si>
    <t>This study was performed as part of National Programme for Antarctic Research and was financially supported by ENEA through a joint research programme.</t>
  </si>
  <si>
    <t>10.1111/j.1439-0485.2002.tb00037.x</t>
  </si>
  <si>
    <t>WOS:000208309200037</t>
  </si>
  <si>
    <t>Marvin, UB</t>
  </si>
  <si>
    <t>Oral histories in meteoritics and planetary science: V. Brian Mason</t>
  </si>
  <si>
    <t>In this interview, Brian Mason describes the sudden awakening of his interest in meteorites during his student days at Canterbury College in New Zealand when he read a paper on the cosmic abundances of the elements by Victor M. Goldschmidt. Subsequently, he won a scholarship for graduate study abroad and wrote to Goldschmidt asking if he could do a thesis with him in Norway. Shortly after he began his research in Oslo, he fled the city, ahead of the German invasion of Norway, and completed his doctorate in Stockholm with a thesis on the iron-manganese minerals of the Langban Mine. After the war he taught for 3 years at Canterbury College where he gave courses on mineralogy and geology (into which he inserted lectures on geochemistry) and led students in extensive field studies. In 1947, Mason accepted a professorship of mineralogy at Indiana University. While there, he wrote the landmark book, Principles of Geochemistry, which appeared in 1952. The following year he moved to New York City where he served as the Curator of Minerals at the American Museum of Natural History and an adjunct professor at Columbia University. He became fascinated with the museum's meteorite collection and discussed meteorites in his lectures, which inspired some of his outstanding students to enter the field. During a sabbatical year he spent as a Fulbright Professor in Japan, he gave an advanced level seminar on meteorites and based his book, Meteorites, on his lecture notes. Mason developed a rapid method of optically classifying chondritic meteorites that he applied to major collections in many countries, thus enabling curators to replace uninformative labels such as stone or chondrite with species names, and to recognize which of their meteorites were rare types demanding serious study. In 1965 he moved to the Smithsonian Institution in Washington, D.C. where he remained for the rest of his career. Early in 1968, he collected specimens from the spectacular fall of the Allende meteorite in Mexico, which proved to be a carbonaceous chondrite containing rare types of inclusions enriched in calcium and aluminum. His analyses showed how these inclusions could be divided into groups on the basis of their differing rare earth element patterns. Masons studies of Allende continued while he investigated lunar samples returned by the Apollo missions and coauthored a book on them. Beginning in the latter 1970s, he applied his rapid classification of stony meteorites to the large numbers of specimens collected each year by U.S. teams on the Antarctic ice sheet. In 1992 he capped his career with a biography of Victor M. Goldschmidt. In recognition of his many fundamental contributions, The Meteoritical Society honored Brian Mason with its Leonard Medal at its meeting in 1972 at the University of Chicago.</t>
  </si>
  <si>
    <t>Harvard University; Smithsonian Astrophysical Observatory; Smithsonian Institution</t>
  </si>
  <si>
    <t>Marvin, UB (corresponding author), Harvard Smithsonian Ctr Astrophys, 60 Garden St, Cambridge, MA 02138 USA.</t>
  </si>
  <si>
    <t>B35</t>
  </si>
  <si>
    <t>B45</t>
  </si>
  <si>
    <t>10.1111/j.1945-5100.2002.tb00902.x</t>
  </si>
  <si>
    <t>634JY</t>
  </si>
  <si>
    <t>WOS:000180337300007</t>
  </si>
  <si>
    <t>Schmitt, DG</t>
  </si>
  <si>
    <t>The law of ownership and control of meteorites</t>
  </si>
  <si>
    <t>Increased commerce in meteorites raises questions about their ownership and control. This article reviews the law in several countries, international law, and considers the legal and ethical issues facing curators wanting to bring finds to the research community and not divert them to a black market. A survey was made of scientists involved in meteorite acquisition in over 20 countries to determine how well various systems work. Meteorite ownership law is non-uniform. English Common Law, from which the law in former British colonies including the United States evolved, provides that meteorites are the landowner's property; buried meteorites might be part of the mineral rights. Find reporting is not mandatory. Most Western European countries, and former colonies, have civil codes providing that meteorites are owned by the landowner. In many countries legislation about archaeological treasures modifies earlier meteorite law. The UNESCO Convention on the Means of Prohibiting and Preventing the Illicit Import, Export and Transfer of Ownership of Cultural Property provides for tracking and retrieving from reciprocating states, cultural property including meteorites. The Antarctic Treaty does not deal with samples exported. In July 2001 the Antarctic Treaty Consultative parties adopted a resolution to discourage non-scientific collection. Curators should exercise caution if acquiring specimens of questionable legal ownership. Governments should be urged to enact laws to (1) discourage non-scientific collection in pristine areas; (2) encourage collection in populated areas by reasonable incentives to finders, with mandatory find reporting; (3) create efficient export permitting systems allowing exchange of research samples; and (4) retrieve illegally exported meteorites under the UNESCO Cultural Property Convention.</t>
  </si>
  <si>
    <t>McEwen Schmitt &amp; Co Barristers &amp; Solicitors, Vancouver, BC V6E 3R5, Canada</t>
  </si>
  <si>
    <t>Schmitt, DG (corresponding author), McEwen Schmitt &amp; Co Barristers &amp; Solicitors, POB 11174,1615-1055 W Georgia St, Vancouver, BC V6E 3R5, Canada.</t>
  </si>
  <si>
    <t>B5</t>
  </si>
  <si>
    <t>B11</t>
  </si>
  <si>
    <t>10.1111/j.1945-5100.2002.tb00897.x</t>
  </si>
  <si>
    <t>WOS:000180337300002</t>
  </si>
  <si>
    <t>Jarman, SN; Gales, NJ; Tierney, M; Gill, PC; Elliott, NG</t>
  </si>
  <si>
    <t>A DNA-based method for identification of krill species and its application to analysing the diet of marine vertebrate predators</t>
  </si>
  <si>
    <t>MOLECULAR ECOLOGY</t>
  </si>
  <si>
    <t>diet; faeces; food web; noninvasive; PCR; trophic</t>
  </si>
  <si>
    <t>RIBOSOMAL-RNA GENE; SEQUENCE; PREY; DIVERSITY; EVOLUTION; SPACER; SEA</t>
  </si>
  <si>
    <t>Accurate identification of species that are consumed by vertebrate predators is necessary for understanding marine food webs. Morphological methods for identifying prey components after consumption often fail to make accurate identifications of invertebrates because prey morphology becomes damaged during capture, ingestion and digestion. Another disadvantage of morphological methods for prey identification is that they often involve sampling procedures that are disruptive for the predator, such as stomach flushing or lethal collection. We have developed a DNA-based method for identifying species of krill (Crustacea: Malacostraca), an enormously abundant group of invertebrates that are directly consumed by many groups of marine vertebrates. The DNA-based approach allows identification of krill species present in samples of vertebrate stomach contents, vomit, and, more importantly, faeces. Utilizing samples of faeces from vertebrate predators minimizes the impact of dietary studies on the subject animals. We demonstrate our method first on samples of Adelie penguin (Pygoscelis adeliae) stomach contents, where DNA-based species identification can be confirmed by prey morphology. We then apply the method to faeces of Adelie penguins and to faeces of the endangered pygmy blue whale (Balaenoptera musculus brevicauda). In each of these cases, krill species consumed by the predators could be identified from their DNA present in faeces or stomach contents.</t>
  </si>
  <si>
    <t>CSIRO, Hobart, Tas 7001, Australia; Australian Antarctic Div, Kingston, Tas 7050, Australia; Deakin Univ, Blue Whale Study, Sch Ecol &amp; Environm, Narrawong, Vic 3285, Australia; Australocetus Res, Narrawong, Vic 3285, Australia</t>
  </si>
  <si>
    <t>Commonwealth Scientific &amp; Industrial Research Organisation (CSIRO); Australian Antarctic Division; Deakin University</t>
  </si>
  <si>
    <t>CSIRO, GPO Box 1538, Hobart, Tas 7001, Australia.</t>
  </si>
  <si>
    <t>simon.jarman@aad.gov.au</t>
  </si>
  <si>
    <t>Gill, Peter/JZT-5482-2024; Jarman, Simon/H-9265-2016</t>
  </si>
  <si>
    <t>Jarman, Simon/0000-0002-0792-9686</t>
  </si>
  <si>
    <t>0962-1083</t>
  </si>
  <si>
    <t>1365-294X</t>
  </si>
  <si>
    <t>MOL ECOL</t>
  </si>
  <si>
    <t>Mol. Ecol.</t>
  </si>
  <si>
    <t>10.1046/j.1365-294X.2002.01641.x</t>
  </si>
  <si>
    <t>Biochemistry &amp; Molecular Biology; Ecology; Evolutionary Biology</t>
  </si>
  <si>
    <t>Biochemistry &amp; Molecular Biology; Environmental Sciences &amp; Ecology; Evolutionary Biology</t>
  </si>
  <si>
    <t>619TD</t>
  </si>
  <si>
    <t>WOS:000179492800020</t>
  </si>
  <si>
    <t>Reusch, DB; Alley, RB</t>
  </si>
  <si>
    <t>Automatic weather stations and artificial neural networks: Improving the instrumental record in West Antarctica</t>
  </si>
  <si>
    <t>MONTHLY WEATHER REVIEW</t>
  </si>
  <si>
    <t>ECMWF ANALYSES; PRECIPITATION; RAINFALL; PREDICTION; CLIMATE; EVENTS</t>
  </si>
  <si>
    <t>Automatic weather stations (AWSs) currently provide the only year-round, continuous direct measurements of near-surface weather on the West Antarctic ice sheet away from the coastal manned stations. Improved interpretation of the ever-growing body of ice-core-based paleoclimate records from this region requires a deeper understanding of Antarctic meteorology. As the spatial coverage of the AWS network has expanded year to year, so has the meteorological database. Unfortunately, many of the records are relatively short ( less than 10 yr) and/or incomplete ( to varying degrees) due to the vagaries of the harsh environment. Climate downscaling work in temperate latitudes suggests that it is possible to use GCM-scale meteorological datasets (e.g., ECMWF reanalysis products) to address these problems in the AWS record and create a uniform and complete database of West Antarctic surface meteorology ( at AWS sites). Such records are highly relevant to the improved interpretation of the expanding library of snow-pit and ice-core datasets. Artificial neural network ( ANN) techniques are used to predict 6-hourly AWS surface data ( temperature, pressure) using large-scale features of the atmosphere (e.g., 500-mb geopotential height) from a region around the AWS. ANNs are trained with a calendar year of observed AWS data ( possibly incomplete) and corresponding GCM-scale data. This methodology is sufficient both for high quality predictions within the training set and for predictions outside the training set that are at least comparable to the state of the art. For example, the results presented herein for temperature prediction are approximately equal to those from a satellite-based methodology but with no exposure to problems from surface melt events or sensor changes. Similarly, the significant biases seen in ECMWF surface temperatures are absent from the predictions here, resulting in an rms error that is half as large with respect to the original AWS observations. These results support high confidence in the ANN-based predictions from the GCM-scale data for periods when AWS data are unavailable, for example, before installation. ANNs thus provide a means to expand the surface meteorological records significantly in West Antarctica.</t>
  </si>
  <si>
    <t>Penn State Univ, Dept Geosci, University Pk, PA 16802 USA; Penn State Univ, EMS Environm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</si>
  <si>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</si>
  <si>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Penn State Univ, Dept Geosci, 517 Deike Bldg, University Pk, PA 16802 USA.</t>
  </si>
  <si>
    <t>dbr@geosc.psu.edu</t>
  </si>
  <si>
    <t>Reusch, David/0000-0002-7582-363X</t>
  </si>
  <si>
    <t>0027-0644</t>
  </si>
  <si>
    <t>1520-0493</t>
  </si>
  <si>
    <t>MON WEATHER REV</t>
  </si>
  <si>
    <t>Mon. Weather Rev.</t>
  </si>
  <si>
    <t>10.1175/1520-0493(2002)130&lt;3037:AWSAAN&gt;2.0.CO;2</t>
  </si>
  <si>
    <t>615WD</t>
  </si>
  <si>
    <t>WOS:000179269500015</t>
  </si>
  <si>
    <t>Norman, MD; Paul, D; Finn, J; Tregenza, T</t>
  </si>
  <si>
    <t>First encounter with a live male blanket octopus: the world's most sexually size-dimorphic large animal</t>
  </si>
  <si>
    <t>NEW ZEALAND JOURNAL OF MARINE AND FRESHWATER RESEARCH</t>
  </si>
  <si>
    <t>blanket octopus; Tremoctopus; sexual dimorphism; evolution; defences; Physalia</t>
  </si>
  <si>
    <t>The first encounter with a live male blanket octopus, Tremoctopus violaceus Chime, 1830, illustrates the most extreme example of sexual size-dimorphism in a non-microscopic animal. Females attain sizes of up to 2 m long-almost 2 orders of magnitude larger than the 2.4-cm-long male. Weight ratios between the sexes are at least 10 000: 1 and are likely to reach 40 000 : 1. Sexual selection and the unique defensive strategy of carrying cnidarian stinging tentacles may both have contributed to the evolution of this extreme size-dimorphism. Such dimorphism is not seen in any other animal remotely as large.</t>
  </si>
  <si>
    <t>Museum Victoria, Melbourne, Vic 3001, Australia; Univ Melbourne, Dept Zool, Parkville, Vic 3010, Australia; Univ Tasmania, Inst Antarctic &amp; So Ocean Studies, Hobart, Tas 7000, Australia; Univ Leeds, Sch Biol, Ecol &amp; Evolut Grp, Leeds LS2 9JT, W Yorkshire, England</t>
  </si>
  <si>
    <t>Museum Victoria; University of Melbourne; University of Tasmania; University of Leeds</t>
  </si>
  <si>
    <t>Museum Victoria, GPO Box 666E, Melbourne, Vic 3001, Australia.</t>
  </si>
  <si>
    <t>mnorman@unimelb.edu.au; T.Tregenza@leeds.ac.uk</t>
  </si>
  <si>
    <t>Tregenza, Tom/B-1078-2014</t>
  </si>
  <si>
    <t>Tregenza, Tom/0000-0003-4182-2222</t>
  </si>
  <si>
    <t>0028-8330</t>
  </si>
  <si>
    <t>1175-8805</t>
  </si>
  <si>
    <t>NEW ZEAL J MAR FRESH</t>
  </si>
  <si>
    <t>N. Z. J. Mar. Freshw. Res.</t>
  </si>
  <si>
    <t>10.1080/00288330.2002.9517126</t>
  </si>
  <si>
    <t>634GD</t>
  </si>
  <si>
    <t>WOS:000180330900005</t>
  </si>
  <si>
    <t>Schmalwieser, AW; Schauberger, G; Janouch, M; Nunez, M; Koskela, T; Berger, D; Karamanian, G; Prosek, P; Laska, K</t>
  </si>
  <si>
    <t>Global validation of a forecast model for irradiance of solar, erythemally effective ultraviolet radiation</t>
  </si>
  <si>
    <t>OPTICAL ENGINEERING</t>
  </si>
  <si>
    <t>Conference on Advances in UV Ground- and Space-Based Measurements and Modeling</t>
  </si>
  <si>
    <t>JUL, 2001</t>
  </si>
  <si>
    <t>erythemally effective UV radiation; UV Index; forecast; model; validation; Robertson-Berger meter; Antarctic ozone hole; mini-ozone hole</t>
  </si>
  <si>
    <t>UV-RADIATION; OZONE; ALBEDO; INDEX</t>
  </si>
  <si>
    <t>A worldwide forecast of the global solar erythemally effective UV irradiance, also called UV Index, under clear skies is presented. The forecast was established to inform the public about the expected amount of erythemally effective ultraviolet radiation for the next day. The forecast enables the user to choose the appropriate sun protection tool and to adopt the personal behavior to reduce the risk of health damage. The forecast as well as the radiation model are validated using measurements from a Robertson-Berger meter made at four continents (Antarctica, Australia, America, and Europe). The measurements cover the latitudinal range from 67.4 degreesN to 60.1 degreesS. Since the UV Index was determined to quantify UV radiation protection, the goal of a forecast scheme is to avoid underestimation. Therefore the frequency of underestimation was used as quality criteria also. The Austrian forecast model shows less than 7.3% underestimation in all cases, whereas 5.0% result from the radiation model and 2.3% from the used value of the total ozone content of the atmosphere. (C) 2002 Society of Photo-Optical Instrumentation Engineers.</t>
  </si>
  <si>
    <t>Univ Vet Med, Inst Med Phys &amp; Biostat, A-1210 Vienna, Austria; Czech Hydrometeorol Inst, Solar &amp; Ozone Observ, Hradec Kralove 50008 8, Czech Republic; Univ Tasmania, Sch Geog &amp; Environm Studies, Hobart, Tas 7001, Australia; Finnish Meteorol Inst, FIN-00101 Helsinki, Finland; Solar Light Inc, Philadelphia, PA 19126 USA; Ushuaia GAW Stn, RA-9410 Ushuaia, TDF, Argentina; Masaryk Univ, Dept Geog, CS-61137 Brno, Czech Republic</t>
  </si>
  <si>
    <t>University of Veterinary Medicine Vienna; Czech Hydrometeorological Institute; University of Tasmania; Finnish Meteorological Institute; Masaryk University Brno</t>
  </si>
  <si>
    <t>Univ Vet Med, Inst Med Phys &amp; Biostat, Vet Pl 1, A-1210 Vienna, Austria.</t>
  </si>
  <si>
    <t>alois.schmalwieser@vu-wien.ac.at</t>
  </si>
  <si>
    <t>Janouch, Michal/AAA-7592-2020; Schauberger, Gunther/C-6543-2009; Schmalwieser, Alois W/B-3748-2011; Laska, Kamil/L-7875-2013</t>
  </si>
  <si>
    <t>Schauberger, Gunther/0000-0003-2418-3692; Schmalwieser, Alois W/0000-0003-0719-391X; Laska, Kamil/0000-0002-5199-9737</t>
  </si>
  <si>
    <t>SPIE-SOC PHOTO-OPTICAL INSTRUMENTATION ENGINEERS</t>
  </si>
  <si>
    <t>1000 20TH ST, PO BOX 10, BELLINGHAM, WA 98225 USA</t>
  </si>
  <si>
    <t>0091-3286</t>
  </si>
  <si>
    <t>1560-2303</t>
  </si>
  <si>
    <t>OPT ENG</t>
  </si>
  <si>
    <t>Opt. Eng.</t>
  </si>
  <si>
    <t>10.1117/1.1517575</t>
  </si>
  <si>
    <t>Optics</t>
  </si>
  <si>
    <t>627UL</t>
  </si>
  <si>
    <t>WOS:000179954500009</t>
  </si>
  <si>
    <t>Sasaki, M; Takeshita, S; Oyanagi, T; Miyake, Y; Sakata, T</t>
  </si>
  <si>
    <t>Increasing trend of biologically active solar ultraviolet-B irradiance in mid-latitude Japan in the 1990s</t>
  </si>
  <si>
    <t>SAN DIEGO, CALIFORNIA</t>
  </si>
  <si>
    <t>calibration; effective ozone amount; long-term trend; moving average; regression analysis; total ozone amount; total solar irradiance; UV-B irradiance; UV-B radiometer</t>
  </si>
  <si>
    <t>OZONE DEPLETION; ANTARCTIC OZONE; UV-RADIATION; 35-DEGREES-N; SURFACE</t>
  </si>
  <si>
    <t>Ground-based global solar ultraviolet-B (UV-B: 290 to 320 nm) irradiance has been measured by a narrow band UV-B radiometer at Tokai University, Hiratsuka, Japan (35degrees21'N, 139degrees16'E) for a 10-year period from October 1990 to September 2000. A precise calibration of the UV-B radiometer was periodically performed, and the yearly decay in sensitivity was found to be -3.7%. Using this decay rate, the measured UV-B irradiance was corrected, and the long-term trends of the UV-B irradiance were estimated. When the seasonal variation was eliminated by taking 12-month moving averages, an increasing trend in the UV-B irradiance was demonstrated to be 1.57 % per year. Moreover, to remove quasibiennial oscillation (QBO), 26-month moving averages were applied to the UV-B irradiance normalized by the global total (300 to 3000 nm) solar irradiance. An increasing trend in the normalized UV-B irradiance was found to be 1.22 % per year. In winter, the clearly increasing trend of the UV-B irradiance was statistically significant, although the increasing tendency of the UV-B irradiance in other seasons (spring, summer, and fall) is not clear. A significant inverse correlation was confirmed between the UV-B irradiance normalized by the global total solar irradiance and the effective ozone amount defined as total ozone amount X sectheta, where theta is the solar zenith angle. These findings give supporting evidence for a direct relationship between solar UV-B irradiance and the stratospheric ozone amount. In conclusion, the increasing trend of global solar UV-B irradiance, especially in winter, was confirmed in response to stratospheric ozone loss in mid-latitude Japan in the 1990S. (C) 2002 Society of Photo-Optical Instrumentation Engineers.</t>
  </si>
  <si>
    <t>Tokai Univ, Sci &amp; Technol Res Inst, Hiratsuka, Kanagawa 2591292, Japan; Natl Inst Polar Res, Upper Atmospher Phys Div, Itabashi Ku, Tokyo 1738515, Japan; EKO Instruments Trading Co Ltd, Shibuya Ku, Tokyo 1510072, Japan</t>
  </si>
  <si>
    <t>Tokai University; Research Organization of Information &amp; Systems (ROIS); National Institute of Polar Research (NIPR) - Japan</t>
  </si>
  <si>
    <t>Sasaki, M (corresponding author), Tokai Univ, Sci &amp; Technol Res Inst, 1117 Kitakaname, Hiratsuka, Kanagawa 2591292, Japan.</t>
  </si>
  <si>
    <t>SPIE-INT SOCIETY OPTICAL ENGINEERING</t>
  </si>
  <si>
    <t>10.1117/1.1516823</t>
  </si>
  <si>
    <t>WOS:000179954500011</t>
  </si>
  <si>
    <t>Siani, AM; Casale, GR; Galliani, A</t>
  </si>
  <si>
    <t>Investigation on a low ozone episode at the end of November 2000 and its effect on ultraviolet radiation</t>
  </si>
  <si>
    <t>total ozone; weather patterns; ultraviolet radiation</t>
  </si>
  <si>
    <t>UV; FLUCTUATIONS; IRRADIANCE; TRENDS</t>
  </si>
  <si>
    <t>At mid-latitudes, ozone variations are mainly caused by horizontal and vertical air transport, while the intensity of sources and sinks play a minor role. A short-lived episode of low ozone values over central Europe on 29 November 2000 was observed at some Italian Brewer stations. The total ozone was reduced by an episodic intrusion of tropical air having an ozone column substantially lower than normal. This reduction was not caused by photochemical reactions, which are responsible for the ozone reduction over Antarctic regions. The investigation was based on the 03 tendency equations for determining the dynamic cause of the low ozone event. Ultraviolet (UV) irradiances variations were also analyzed to determine how weather patterns may lead to enhanced levels of UV radiation within a few days, which, however, was not found to be biologically harmful. (C) 2002 Society of Photo-Optical Instrumentation Engineers.</t>
  </si>
  <si>
    <t>Univ Roma La Sapienza, Dept Phys, I-00185 Rome, Italy; ReSMA, Ufficio Gen Meteorol, Vigna di Valle, Italy</t>
  </si>
  <si>
    <t>Sapienza University Rome</t>
  </si>
  <si>
    <t>Siani, AM (corresponding author), Univ Roma La Sapienza, Dept Phys, Ple A Moro 2, I-00185 Rome, Italy.</t>
  </si>
  <si>
    <t>Siani, Alfonso/B-7925-2015; Casale, Giuseppe/B-9276-2013</t>
  </si>
  <si>
    <t>Siani, Alfonso/0000-0002-9797-2943; Casale, Giuseppe/0000-0001-8205-0551; Siani, Anna Maria/0000-0001-7435-1426</t>
  </si>
  <si>
    <t>10.1117/1.1516821</t>
  </si>
  <si>
    <t>WOS:000179954500013</t>
  </si>
  <si>
    <t>Cooke, PJ; Nelson, CS; Crundwell, MP; Spiegler, D</t>
  </si>
  <si>
    <t>Bolboforma as monitors of Cenozoic palaeoceanographic changes in the Southern Ocean</t>
  </si>
  <si>
    <t>bolboforms; Bolboforma; Southern Ocean; Cenozoic; palaeoceanography; biostratigraphy</t>
  </si>
  <si>
    <t>CARBON-ISOTOPE STRATIGRAPHY; SEA DRILLING PROJECT; SOUTHWEST PACIFIC; NEW-ZEALAND; LEG 90; PLANKTONIC FORAMINIFERS; NORTH-ATLANTIC; TASMAN SEA; PALEOCEANOGRAPHY; OLIGOCENE</t>
  </si>
  <si>
    <t>Bolboform distribution in space and time is analysed from a circum-Antarctic belt of lower Eocene to uppermost Miocene sediments from the Southwest Pacific, Southeast Pacific (Bellinghausen Basin), Maud Rise and South Atlantic, and Indian Ocean (Kerguelen Plateau) regions. A correlation panel using established Cenozoic planktic foraminiferal and calcareous nannofossil zones is linked to the Bolboforma zonation scheme for the Southern Ocean. Evolution of surface watermasses and their boundaries, the major oceanic fronts, are tracked using the microfossil distributions and general sediment characteristics, and are in turn linked to the Bolboforma distribution. Specifically, the migration of both the Antarctic Polar Front and the Subtropical Front northwards from continental Antarctica, starting in the earliest Oligocene and culminating in the late Miocene establishment of 'modern' conditions, links the bolboforms in the Southern Ocean with subantarctic watermass conditions between the equivalent of today's Subantarctic and Subtropical fronts. The occurrence of bolboforms in sediments including subtropical microfossil assemblages from north of the Subtropical Front, as in the Tasman Sea, is anomalous. We suggest that they were transported into this region by subsurface (intermediate depth) waters generated by subduction of subantarctic surface water at southern oceanic fronts. The distribution of bolboforms more widely outside the Southern Ocean may define the pathways of Southern Component Intermediate Water (Antarctic Intermediate Water) during the Tertiary, and may account for their bipolar distribution. Bolboforms exhibit a circum-Antarctic distribution prior to the development of a full circum-Antarctic circulation system following the opening of the Tasmanian and Drake gateways. It is inferred that a West Antarctic Seaway between the Ross Sea and Weddell Sea embayments may have afforded oceanic connection between the Southwest Pacific and the southern Atlantic during the Eocene-Oligocene, facilitating dispersal and such a distribution. (C) 2002 Elsevier Science B.V. All rights reserved.</t>
  </si>
  <si>
    <t>Univ Waikato, Dept Earth Sci, Hamilton, New Zealand; GEOMAR, D-24148 Kiel, Germany</t>
  </si>
  <si>
    <t>University of Waikato; Helmholtz Association; GEOMAR Helmholtz Center for Ocean Research Kiel</t>
  </si>
  <si>
    <t>Cooke, PJ (corresponding author), Univ Waikato, Dept Earth Sci, Private Bag 3105, Hamilton, New Zealand.</t>
  </si>
  <si>
    <t>p.cooke@waikato.ac.nz</t>
  </si>
  <si>
    <t>PII S0031-0182(02)00531-X</t>
  </si>
  <si>
    <t>10.1016/S0031-0182(02)00531-X</t>
  </si>
  <si>
    <t>615TV</t>
  </si>
  <si>
    <t>WOS:000179263600005</t>
  </si>
  <si>
    <t>Abarca, JF; Casiccia, CC</t>
  </si>
  <si>
    <t>Skin cancer and ultraviolet-B radiation under the Antarctic ozone hole: southern Chile, 1987-2000</t>
  </si>
  <si>
    <t>PHOTODERMATOLOGY PHOTOIMMUNOLOGY &amp; PHOTOMEDICINE</t>
  </si>
  <si>
    <t>ozone depletion; skin cancer incidence; sunburn; UV-B radiation</t>
  </si>
  <si>
    <t>CUTANEOUS MALIGNANT-MELANOMA; BASAL-CELL CARCINOMA; SUN EXPOSURE; SUNLIGHT-EXPOSURE; PUNTA ARENAS; RISK-FACTORS; HEALTH; INTERMITTENT</t>
  </si>
  <si>
    <t>Background. Punta Arenas, Chile, the southernmost city in the world (53degreesS), with a population of 154 000, is located near the Antarctic ozone hole (AOH) and has been regularly affected by high levels of ultraviolet-B (UV-B) radiation each spring for the last 20 years. Large increases in UV-B associated with the AOH have been measured with increases in UV-B at 297 nm of up to 38 times those of similar days with normal ozone. Recently we reported significant increases in sunburns during the spring of 1999 on days with low ozone because of the AOH. Methods: A surveillance of skin cancers occurring from 1987 to 2000 was performed. Age, sex, location, type of skin cancer and skin phototype were recorded. A Brewer Spectrophotometer was used in order to obtain in situ measurements of ozone and UV-B. Total Ozone Mapping Spectrometer (TOMS) data from National Aeronautics and Space Administration (NASA) was used in order to establish pre-ozone hole climatology. Results: Ozone levels as low as 145DU (Dobson Units) were recorded, a 56% decrease in ozone, and UV-B levels up to 4.947 J/m(2). These levels are close to summertime levels at mid latitudes. For the 14-year period - from 1987 to 2000 - 173 cases of skin cancer were diagnosed, 65 during the first 7 years, 108 during the second, an increase of 66%. Cutaneous malignant melanoma (CMM), 19% of the cases, increased by 56%, raising the rate from 1.22 to 1.91 per 100000. Non-melanoma skin cancer (NMSC), 81% of the total, increased the rate from 5.43 to 7.94 per 100 000 (P &lt; 0.05), a 46% increase. Patients with CMM and NMSC had skin phototypes I-II in 59% and 54% of cases, respectively. Days with more than 25% ozone loss occurred in 143 days during the last 20 springs. Significant increases of UV-B were observed under ozone hole conditions, especially around 300 nm, the most carcinogenic wavelengths. Conclusions: Highly unusual ozone loss and UV-B increases have occurred in the Punta Arenas area over the past two decades resulting in the non-photoadapted population being repeatedly exposed to an altered solar UV spectrum with a greater effectiveness for erythema and photocarcinogenesis. This phenomenon has not previously been reported over other populated areas and an additional increase in the skin cancer rate attributable to the AOH may be occurring. Research on the clinical and subclinical impact of these abnormalities is urgently needed.</t>
  </si>
  <si>
    <t>Hosp Reg Punta Arenas, Dermatol Unit, Punta Arenas, Chile; Univ Magallanes, Ozone &amp; Ultraviolet Radiat Lab, Punta Arenas, Chile</t>
  </si>
  <si>
    <t>Universidad de Magallanes</t>
  </si>
  <si>
    <t>Hosp Reg Punta Arenas, Dermatol Unit, Punta Arenas, Chile.</t>
  </si>
  <si>
    <t>drabarca@ctcinternet.cl</t>
  </si>
  <si>
    <t>0905-4383</t>
  </si>
  <si>
    <t>1600-0781</t>
  </si>
  <si>
    <t>PHOTODERMATOL PHOTO</t>
  </si>
  <si>
    <t>Photodermatol. Photoimmunol. Photomed.</t>
  </si>
  <si>
    <t>10.1034/j.1600-0781.2002.02782.x</t>
  </si>
  <si>
    <t>Dermatology</t>
  </si>
  <si>
    <t>620TM</t>
  </si>
  <si>
    <t>WOS:000179548600004</t>
  </si>
  <si>
    <t>Lud, D; Moerdijk, TCW; Van de Poll, WH; Buma, AGJ; Huiskes, AHL</t>
  </si>
  <si>
    <t>DNA damage and photosynthesis in Antarctic and Arctic Sanionia uncinata (Hedw.) Loeske under ambient and enhanced levels of UV-B radiation</t>
  </si>
  <si>
    <t>PLANT CELL AND ENVIRONMENT</t>
  </si>
  <si>
    <t>Sanionia uncinata; Drepanocladus uncinatus; Antarctica; bryophyte; chlorophyll; chlorophyll fluorescence; cyclobutyl pyrimidine dimers; DNA damage; photosynthesis; thymine dimers; UV-B radiation; UV-B supplementation</t>
  </si>
  <si>
    <t>TIERRA-DEL-FUEGO; STRATOSPHERIC OZONE DEPLETION; ULTRAVIOLET-RADIATION; ATMOSPHERIC CHEMISTRY; MARINE-PHYTOPLANKTON; SOUTHERN ARGENTINA; THYMINE DIMERS; EARTHS SURFACE; FIELD; PLANTS</t>
  </si>
  <si>
    <t>The response of the bipolar moss Sanionia uncinata (Hedw.) Loeske to ambient and enhanced UV-B radiation was investigated at an Antarctic (Leonie Island, 67degrees35' S, 68degrees20' W) and an Arctic (Ny-Alesund, 78degrees55' N, 11degrees56' E) site, which differed in ambient UV-B radiation (UV-BR: 280-320 nm) levels. The UV-BR effects on DNA damage and photosynthesis were investigated in two types of outdoor experiments. First of all, sections of turf of S. uncinata were collected in an Arctic and Antarctic field site and exposed outdoors to ambient and enhanced UV-BR for 2 d using UV-B Mini-lamps. During these experiments, chlorophyll a fluorescence, chlorophyll concentration and cyclobutyl pyrimidine dimer (CPD) formation were measured. Secondly, at the Antarctic site, a long-term filter experiment was conducted to study the effect of ambient UV-BR on growth and biomass production. Additionally, sections of moss turf collected at both the Antarctic and the Arctic site were exposed to UV-BR in a growth chamber to study induction and repair of CPDs under controlled conditions. At the Antarctic site, a summer midday maximum of 2.1 W m(-2) of UV-BR did not significantly affect effective quantum yield (F/Fm) and the ratio of variable to maximal fluorescence (Fv/Fm). The same was found for samples of S. uncinata exposed at the Arctic site, where summer midday maxima of UV-BR were about 50% lower than at the Antarctic site. Exposure to natural UV-BR in summer did not increase CPD values significantly at both sites. Although the photosynthetic activity remained largely unaffected by UV-B enhancement, DNA damage clearly increased as a result of UV-B enhancement at both sites. However, DNA damage induced during the day by UV-B enhancement was repaired overnight at both sites. Results from the long-term filter experiment at the Antarctic site indicated that branching of S. uncinata was reduced by reduction of ambient summer levels of UV-BR, whereas biomass production was not affected. Exposure of specimens collected from both sites to UV-BR in a growth chamber indicated that Antarctic and Arctic S. uncinata did not differ in UV-BR-induced DNA damage. It was concluded that S. uncinata from both the Antarctic and the Arctic site is well adapted to ambient levels of UV-BR.</t>
  </si>
  <si>
    <t>Netherlands Inst Ecol, Ctr Estuarine &amp; Marine Ecol, NL-4400 AC Yerseke, Netherlands; Univ Groningen, Dept Marine Biol, NL-9750 AA Haren, Netherlands</t>
  </si>
  <si>
    <t>Royal Netherlands Academy of Arts &amp; Sciences; Netherlands Institute of Ecology (NIOO-KNAW); University of Groningen</t>
  </si>
  <si>
    <t>Lud, D (corresponding author), Netherlands Inst Ecol, Ctr Estuarine &amp; Marine Ecol, POB 140, NL-4400 AC Yerseke, Netherlands.</t>
  </si>
  <si>
    <t>Huiskes, Ad/C-3252-2011; Buma, Anita GJ/E-8372-2015</t>
  </si>
  <si>
    <t>Lud, Daniela/0000-0003-2306-5416; van de Poll, Willem/0000-0003-4095-4338</t>
  </si>
  <si>
    <t>0140-7791</t>
  </si>
  <si>
    <t>PLANT CELL ENVIRON</t>
  </si>
  <si>
    <t>Plant Cell Environ.</t>
  </si>
  <si>
    <t>10.1046/j.1365-3040.2002.00914.x</t>
  </si>
  <si>
    <t>621FY</t>
  </si>
  <si>
    <t>WOS:000179578900001</t>
  </si>
  <si>
    <t>Borges, JCS; Porto-Neto, LR; Mangiaterra, MBBCD; Jensch, BE; da Silva, JRMC</t>
  </si>
  <si>
    <t>Phagocytosis in vitro and in vivo in the Antarctic sea urchin Sterechinus neumayeri at 0°C</t>
  </si>
  <si>
    <t>AMPHIOXUS BRANCHIOSTOMA-PLATAE; INDUCED INFLAMMATORY PROCESS; ODONTASTER VALIDUS KOEHLER; CELOMIC FLUID; LYTECHINUS-VARIEGATUS; BACTERIAL CLEARANCE; CELOMOCYTES</t>
  </si>
  <si>
    <t>Phagocytosis of yeast by Sterechinus neumayeri phagocytic amoebocytes (PA) and their germicidal capacity was studied in vitro (1, 2 and 4 h) and in vivo (1, 2, 4, 8, and 12 h) at 0degreesC. The phagocytic capacity (PC), phagocytic index (PI), and germicidal capacity (GC) of the PA were calculated. Total number of coelomocytes varied between animals. In vitro, there was a significant increase of PC in all periods, and a significant difference of the PI and GC only between 1 and 2 h. In vivo, there was no significant difference of PC and the PI, but a significant increase in GC in different periods. PC and the PI index were significantly higher in vitro than in vivo for all studied periods, and GC only between 1 and 2 h. The PC and PI, compared with tropical sea urchins, were lower, despite the similar pattern, suggesting an effect of temperature on phagocytosis.</t>
  </si>
  <si>
    <t>Inst Ciencias Biomed 1, Dept Histol &amp; Embriol, BR-05508900 Sao Paulo, Brazil</t>
  </si>
  <si>
    <t>Borges, JCS (corresponding author), Inst Ciencias Biomed 1, Dept Histol &amp; Embriol, Av Prof Lineu Prestes 1524, BR-05508900 Sao Paulo, Brazil.</t>
  </si>
  <si>
    <t>jcborges@usp.br</t>
  </si>
  <si>
    <t>Silva, J.R.M.C./H-7496-2016; Borges, João CS/B-9057-2012; Porto-Neto, Laercio/D-2594-2012</t>
  </si>
  <si>
    <t>Silva, J.R.M.C./0000-0002-1687-8526; Shimada Borges, Joao Carlos/0000-0002-3947-4655; Porto-Neto, Laercio/0000-0002-3536-8265</t>
  </si>
  <si>
    <t>10.1007/s00300-002-0431-6</t>
  </si>
  <si>
    <t>627FU</t>
  </si>
  <si>
    <t>WOS:000179923500004</t>
  </si>
  <si>
    <t>Cherel, Y; Pütz, K; Hobson, KA</t>
  </si>
  <si>
    <t>Summer diet of king penguins (Aptenodytes patagonicus) at the Falkland Islands, southern Atlantic Ocean</t>
  </si>
  <si>
    <t>SQUID MOROTEUTHIS-INGENS; NEW-ZEALAND WATERS; STABLE ISOTOPES; TROPHIC RELATIONSHIPS; CROZET-ISLANDS; POPULATION TRENDS; MARTIALIA-HYADESI; ILLEX-ARGENTINUS; CEPHALOPOD PREY; MARION-ISLAND</t>
  </si>
  <si>
    <t>The diet of king penguins (Aptenodytes patagonicus) brooding chicks was investigated during February 2001 at the Falkland Islands, where a small but increasing population is located at the limit of the breeding range of this species. Fish was the most important food source by number (98.0%) and reconstituted mass (97.8%), squids accounting for the remainder. Myctophid fishes represented the main part of the diet (97.7% by number and 96.6% by reconstituted mass), Protomyctophum choriodon being by far the main prey item (84.2% and 88.1%, respectively). Four other myctophids and one squid species each contributed to more than 1% of the diet by number: Krefftichthys anderssoni (4.8%), Electrona carlsbergi (4.6%), Gymnoscopelus nicholsi (2.2%) and Protomyctophum tenisoni (1.8%), together with small juveniles of Gonatus antarcticus (1.8%). Twelve squid species were identified from accumulated lower beaks, including the ommastrephid Martialia hyadesi (48.3% by number), the onychoteuthids Moroteuthis ingens (15.6%), Kondakovia longimana (10.5%) and Moroteuthis knipovitchi (7.3%), and Gonatus antarcticus (9.2%). The stable-carbon and stable-nitrogen isotopic composition of chick food and adult blood differed in a way that suggests that, during the same trip, adult birds fed for themselves in distant foraging grounds, and fed for their chicks on their way back to the colony. The study emphasizes that king penguins are specialist myctophid eaters throughout their breeding range in summer, and highlights the importance of Protomyctophum choriodon as a link between zooplankton and top predators in the pelagic ecosystem of the southwestern Atlantic Ocean.</t>
  </si>
  <si>
    <t>CNRS, Ctr Etud Biol Chize, UPR 1934, F-79360 Villiers En Bois, France; Antarctic Res Trust, Stanley, Falkland Isl, England; Environm Canada, Prairie &amp; No Wildlife Res Ctr, Saskatoon, SK S7N 0X4, Canada</t>
  </si>
  <si>
    <t>Centre National de la Recherche Scientifique (CNRS); Environment &amp; Climate Change Canada</t>
  </si>
  <si>
    <t>Cherel, Y (corresponding author), CNRS, Ctr Etud Biol Chize, UPR 1934, BP14, F-79360 Villiers En Bois, France.</t>
  </si>
  <si>
    <t>Hobson, Keith/Q-9306-2019</t>
  </si>
  <si>
    <t>10.1007/s00300-002-0419-2</t>
  </si>
  <si>
    <t>WOS:000179923500005</t>
  </si>
  <si>
    <t>Fernández, DA; Calvo, J; Wakeling, JM; Vanella, FA; Johnston, IA</t>
  </si>
  <si>
    <t>Escape performance in the sub-Antarctic notothenioid fish Eleginops maclovinus</t>
  </si>
  <si>
    <t>MUSCLE POWER OUTPUT; THERMAL-ACCLIMATION; SWIMMING PERFORMANCE; FAST-STARTS; TEMPERATURE; CARP; KINEMATICS</t>
  </si>
  <si>
    <t>Fast-start performance associated with escape behaviour was investigated in the sub-Antarctic notothenioid Eleginops maclovinus from the Beagle Channel, Tierra del Fuego, Argentina (mean winter water temperature 4degreesC, mean summer water temperature 10degreesC). Fish acclimated to 8.5degreesC for 2 months were filmed at 2, 4, 6, 8 and 10degreesC. Escape responses were temperature dependent over the range of temperatures tested. Maximum length-specific velocity ((V) over cap (max)), maximum length-specific acceleration ((A) over cap (max)) and inertial power output (P-iner) increased significantly with temperature. Q(10) values for (V) over cap (max), (A) over cap (max) and P-iner were 1.90, 3.27 and 8.90, respectively. Non-dimensional curvature of the spine ((c) over cap) also varied significantly with temperature, but was higher at low temperatures. The values of (c) over cap were threefold lower than previously reported for Antarctic notothenioids and similar to the values for temperate species. The results indicate that the high values of observed during escape behaviour in Antarctic notothenioids are not a universal feature of the suborder. A greater flexion of the body during fast starts is therefore a promising candidate for a specialised feature of behaviour linked to low-temperature performance.</t>
  </si>
  <si>
    <t>Sch Biol, Div Environm &amp; Evolutionary Biol, Gatty Marine Lab, St Andrews KY16 8LB, Fife, Scotland; CADIC, RA-9410 Tierra Fuego, Argentina; Univ Calgary, Fac Kinesiol, Human Performance Lab, Calgary, AB, Canada</t>
  </si>
  <si>
    <t>University of St Andrews; University of Calgary</t>
  </si>
  <si>
    <t>Wesleyan Univ, Dept Biol, Middletown, CT 06459 USA.</t>
  </si>
  <si>
    <t>dfernandez@wesleyan.edu</t>
  </si>
  <si>
    <t>Johnston, Ian A./AAE-2044-2019; Johnston, Ian A/D-6592-2013</t>
  </si>
  <si>
    <t>Fernandez, Daniel Alfredo/0000-0002-3367-4138</t>
  </si>
  <si>
    <t>10.1007/s00300-002-0435-2</t>
  </si>
  <si>
    <t>WOS:000179923500007</t>
  </si>
  <si>
    <t>Woehler, EJ; Auman, HJ; Riddle, MJ</t>
  </si>
  <si>
    <t>Long-term population increase of black-browed albatrosses Thalassarche melanophrys at Heard Island, 1947/1948-2000/2001</t>
  </si>
  <si>
    <t>DIOMEDEA-MELANOPHRIS; FALKLAND-ISLANDS; TRAWLERS; MORTALITY; DISCARDS; SEABIRDS</t>
  </si>
  <si>
    <t>The breeding population of the black-browed albatross Thalassarche melanophrys has increased at Heard Island since the first census data were obtained in 1947/1948. Four breeding localities are known, and all populations have increased in the period 1947/1948-2000/2001. The breeding population is estimated to have been approximately 200 pairs in 1947/1948. Based on 2000/2001 census data, the population has increased to a minimum of approximately 600 pairs over the 53 years. Two mechanisms, that of increased prey availability through scavenging discards from trawlers operating within their foraging range, and climatic amelioration, are proposed as hypotheses for this increase.</t>
  </si>
  <si>
    <t>Auman, Heidi J/JAN-6253-2023; Auman, Heidi J/J-2418-2013</t>
  </si>
  <si>
    <t>Auman, Heidi J/0000-0002-3749-7554; Woehler, Eric/0000-0002-1125-0748</t>
  </si>
  <si>
    <t>10.1007/s00300-002-0436-1</t>
  </si>
  <si>
    <t>WOS:000179923500008</t>
  </si>
  <si>
    <t>Haemolymph osmolality and thermal hysteresis activity in 17 species of arthropods from sub-Antarctic Marion Island</t>
  </si>
  <si>
    <t>COLD TOLERANCE; TEMPERATURE TOLERANCE; WATER-BALANCE; LIMITS; CATERPILLAR; LEPIDOPTERA; ANTIFREEZE; HARDINESS; PROTEINS; WEEVIL</t>
  </si>
  <si>
    <t>In this paper, we present measurements of haemolymph osmolality for individuals from 17 species of arthropods on Marion Island, including a mite, a spider, Collembola, Psocoptera, Coleoptera, Diptera and Lepidoptera. This is the largest such survey for a Southern Hemisphere habitat. We also screened these species for thermal hysteresis activity, and show that the lepidopteran Embryonopsis halticella has a haemolymph thermal hysteresis agent that imparts approximately 0.2degreesC of thermal hysteresis. This low level leads us to conclude that, in this mild habitat, it may have a role in preventing nucleation, rather than directly acting to depress the freezing point of whole caterpillars. Haemolymph osmolalities were generally concordant with published values for the groups examined. With the exception of Isotomurus cd. palustris acclimated at 5 and 10 degreesC, we found no statistical evidence of acclimation altering the haemolymph osmolality for any of the arthropods investigated.</t>
  </si>
  <si>
    <t>Univ Stellenbosch, Ecol Res Grp, Dept Zool, ZA-7602 Matieland, South Africa</t>
  </si>
  <si>
    <t>Sinclair, BJ (corresponding author), Univ Stellenbosch, Ecol Res Grp, Dept Zool, Private Bag 11, ZA-7602 Matieland, South Africa.</t>
  </si>
  <si>
    <t>Sinclair, Brent J/C-6133-2012; Chown, Steven/ABD-7646-2021; Chown, Steven L/H-3347-2011</t>
  </si>
  <si>
    <t>10.1007/s00300-002-0433-4</t>
  </si>
  <si>
    <t>WOS:000179923500009</t>
  </si>
  <si>
    <t>Kato, A; Ropert-Coudert, Y; Naito, Y</t>
  </si>
  <si>
    <t>Changes in Adelie penguin breeding populations in Lutzow-Holm Bay, Antarctica, in relation to sea-ice conditions</t>
  </si>
  <si>
    <t>SOUTH-SHETLAND-ISLANDS; PYGOSCELIS-ADELIAE; DIVING BEHAVIOR; COMPETITION; SUCCESS; PERFORMANCE; EXTENT; TRENDS; IMPACT; AREAS</t>
  </si>
  <si>
    <t>The Adelie penguin, Pygoscelis adeliae, an important component of the Antarctic marine ecosystem, is closely associated with sea ice. Using data collected by Japanese Antarctic Research Expeditions since the 1960s, we examined trends in breeding populations of this species around Lutzow-Holm Bay. Ten colonies ranging in size from 10 to 2,500 individuals were counted along the Soya Coast. Populations fluctuated synchronously, and overall increased at most colonies, except for two: one located deep inside the bay and another where human disturbance was substantial. Populations tended to increase during, or after, periods of sparse sea ice in summer, a condition that occurred once every decade. An increase in population size also occurred 5 years after a winter of extensive sea ice and after a winter of especially reduced sea ice.</t>
  </si>
  <si>
    <t>Natl Inst Polar Res, Itabashi Ku, Tokyo 1738515, Japan</t>
  </si>
  <si>
    <t>Research Organization of Information &amp; Systems (ROIS); National Institute of Polar Research (NIPR) - Japan</t>
  </si>
  <si>
    <t>Kato, A (corresponding author), Natl Inst Polar Res, Itabashi Ku, 1-9-10 Kaga, Tokyo 1738515, Japan.</t>
  </si>
  <si>
    <t>Kato, Akiko/W-2447-2019</t>
  </si>
  <si>
    <t>Kato, Akiko/0000-0002-8947-3634</t>
  </si>
  <si>
    <t>10.1007/s00300-002-0434-3</t>
  </si>
  <si>
    <t>WOS:000179923500010</t>
  </si>
  <si>
    <t>Schuller, P; Bunzl, K; Voigt, G; Handl, J; Ellies, A; Castillo, A</t>
  </si>
  <si>
    <t>Fallout radiocesium in an Antarctic region: Deposition history, activity densities and vertical transport in soils</t>
  </si>
  <si>
    <t>RADIATION AND ENVIRONMENTAL BIOPHYSICS</t>
  </si>
  <si>
    <t>SOUTHERN CHILE; CS-137; MIGRATION</t>
  </si>
  <si>
    <t>To improve the knowledge about the Cs-137 spatial distribution and vertical migration in soils of the Southern Hemisphere, the total areal activity density and the vertical transport parameters of this radionuclide were measured in an Antarctic region. For this purpose vegetation and incremental soil samples were collected at 21 representative sites located at 4 islands of the South Shetland Archipelago: King George, Robert, Greenwich and Snow (62-63degreesS and 58-62degreesW). The total Cs-137 activity density varied considerably from 118 to 662 Bq m(-2) (median 384 Bq m(-2), reference date 1995), with a high percentage of the total activity retained in the vegetation cover (5-98% in moss, 3-20% in lichen and 4-12% in grass). At most sites, the maximum activity density in soil was observed in the top layer from where it decreased continuously. To evaluate the transport parameters Of Cs-137 from the activity-depth profiles, the classical convection-diffusion model was used based on the time-course of the annual deposition density Of Cs-137 at the studied region. The values for the diffusion coefficient D-s (median 0.043 cm(2) year(-1)) and the convection velocity v(s) (median -0.012 cm year(-1)) of radiocesium observed under a polar climate are small compared to the transport parameters determined in temperate zones. The data also indicate that at these sites the convectional transport of Cs-137 is almost negligible compared to the transport by diffusion. The high vulnerability of the Antarctic soils to Cs-137 deposition, as a consequence of its very slow transport due to the extreme climatic conditions at these latitudes, has been confirmed.</t>
  </si>
  <si>
    <t>Univ Austral Chile, Inst Fis, Valdivia, Chile; GSF, Inst Radiat Protect, D-85764 Neuherberg, Germany; IAEA, Labs Seibersdorf, A-1400 Vienna, Austria; Univ Hannover, ZSR, D-30419 Hannover, Germany</t>
  </si>
  <si>
    <t>Universidad Austral de Chile; Helmholtz Association; Helmholtz-Center Munich - German Research Center for Environmental Health; International Atomic Energy Agency; Leibniz University Hannover</t>
  </si>
  <si>
    <t>Schuller, P (corresponding author), Univ Austral Chile, Inst Fis, Casilla 567, Valdivia, Chile.</t>
  </si>
  <si>
    <t>0301-634X</t>
  </si>
  <si>
    <t>RADIAT ENVIRON BIOPH</t>
  </si>
  <si>
    <t>Radiat. Environ. Biophys.</t>
  </si>
  <si>
    <t>10.1007/s00411-002-0169-0</t>
  </si>
  <si>
    <t>Biology; Biophysics; Environmental Sciences; Radiology, Nuclear Medicine &amp; Medical Imaging</t>
  </si>
  <si>
    <t>Life Sciences &amp; Biomedicine - Other Topics; Biophysics; Environmental Sciences &amp; Ecology; Radiology, Nuclear Medicine &amp; Medical Imaging</t>
  </si>
  <si>
    <t>649GL</t>
  </si>
  <si>
    <t>WOS:000181198900007</t>
  </si>
  <si>
    <t>López-González, PJ; Gili, JM; Orejas, C</t>
  </si>
  <si>
    <t>A new primnoid genus (Anthozoa: Octocorallia) from the Southern Ocean</t>
  </si>
  <si>
    <t>SCIENTIA MARINA</t>
  </si>
  <si>
    <t>Southern Ocean; Antarctica; biodiversity; new genus; Arntzia</t>
  </si>
  <si>
    <t>FAUNA</t>
  </si>
  <si>
    <t>A new primnoid genus is here proposed based on the study of the type material of Primnoella gracilis Molander, 1929 and the abundant material collected during some recent Antarctic and Subantarctic cruises. The new genus, Arntzia, is compared with its closest primnoid genera, mainly Ainigmaptilon Dean and Primnoella Gray. Arntzia differs from other unbranched primnoids by a set of features such as its colonies of fleshy consistence, relatively low spicule density, polyps in whorls, fused basally, forming a common brood-chamber along the axial coenenchyme where oocytes develop, eight distalmost opercular scales larger than marginal or submarginal scales, two adaxial opercular scales smaller than the others, marginal scales in equal number to opercular, vertically aligned with opercular scales, not well-differentiated from the body scales below, and polyp body completely covered by scales, except for the proximal portion and basal part of the adaxial side. With the description of Arntzia, a total of 17 primnoid genera have been reported from the Southern Ocean (Antarctic and Subantarctic waters); moreover, 15 of them -50% of the total in the family-have been recorded exclusively in this area. Thus, the generic diversity of this family in the Southern Ocean should be considered remarkably high.</t>
  </si>
  <si>
    <t>Univ Sevilla, Dept Fisiol &amp; Zool, Fac Biol, E-41012 Seville, Spain; CSIC, CMIMA, Inst Ciencies Mar, E-08003 Barcelona, Spain; Alfred Wegener Inst Polar &amp; Marine Res, D-27568 Bremerhaven, Germany</t>
  </si>
  <si>
    <t>University of Sevilla; Consejo Superior de Investigaciones Cientificas (CSIC); CSIC - Centro Mediterraneo de Investigaciones Marinas y Ambientales (CMIMA); CSIC - Instituto de Ciencias del Mar (ICM); Helmholtz Association; Alfred Wegener Institute, Helmholtz Centre for Polar &amp; Marine Research</t>
  </si>
  <si>
    <t>López-González, PJ (corresponding author), Univ Sevilla, Dept Fisiol &amp; Zool, Fac Biol, Reina Mercedes 6, E-41012 Seville, Spain.</t>
  </si>
  <si>
    <t>Orejas, Covadonga/B-1644-2012; Lopez-González, Pablo J./Y-6440-2018</t>
  </si>
  <si>
    <t>Lopez-González, Pablo J./0000-0002-7348-6270; Orejas Saco del Valle, Covadonga/0000-0002-2580-1002</t>
  </si>
  <si>
    <t>INST CIENCIAS MAR BARCELONA</t>
  </si>
  <si>
    <t>BARCELONA</t>
  </si>
  <si>
    <t>PG MARITIM DE LA BARCELONETA, 37-49, 08003 BARCELONA, SPAIN</t>
  </si>
  <si>
    <t>0214-8358</t>
  </si>
  <si>
    <t>SCI MAR</t>
  </si>
  <si>
    <t>Sci. Mar.</t>
  </si>
  <si>
    <t>10.3989/scimar.2002.66n4383</t>
  </si>
  <si>
    <t>632YF</t>
  </si>
  <si>
    <t>Green Submitted, Green Published, gold</t>
  </si>
  <si>
    <t>WOS:000180251900007</t>
  </si>
  <si>
    <t>Sala, A; Azzali, M; Russo, A</t>
  </si>
  <si>
    <t>Krill of the Ross Sea:: distribution, abundance and demography of Euphausia superba and Euphausia crystallorophias during the Italian Antarctic Expedition (January-February 2000) (vol 66, pg 123, 2002)</t>
  </si>
  <si>
    <t>CNR, Ist Ric Pesca Marittima, I-60125 Ancona, Italy</t>
  </si>
  <si>
    <t>Consiglio Nazionale delle Ricerche (CNR)</t>
  </si>
  <si>
    <t>Sala, A (corresponding author), CNR, Ist Ric Pesca Marittima, Largo Fiera Pesca 1, I-60125 Ancona, Italy.</t>
  </si>
  <si>
    <t>Sala, Antonello/B-8517-2016</t>
  </si>
  <si>
    <t>Sala, Antonello/0000-0001-7066-1152</t>
  </si>
  <si>
    <t>WOS:000180251900013</t>
  </si>
  <si>
    <t>Van Trappen, S; Mergaert, J; Van Eygen, S; Dawyndt, P; Cnockaert, MC; Swings, J</t>
  </si>
  <si>
    <t>Diversity of 746 heterotrophic bacteria isolated from microbial mats from ten Antarctic lakes</t>
  </si>
  <si>
    <t>SYSTEMATIC AND APPLIED MICROBIOLOGY</t>
  </si>
  <si>
    <t>heterotrophic bacteria; Antarctica; microbial mats; fatty acid analysis; 16S rDNA sequencing</t>
  </si>
  <si>
    <t>FRESH-WATER LAKES; MCMURDO ICE SHELF; SP. NOV.; SEQUENCE-ANALYSIS; POND SEDIMENT; COMB-NOV; IDENTIFICATION; BIODIVERSITY; ENVIRONMENT; PROKARYOTES</t>
  </si>
  <si>
    <t>Microbial mats, growing in Antarctic lakes constitute unique and very diverse habitats. In these mats microorganisms are confronted with extreme life conditions. We isolated 746 bacterial strains from mats collected from ten lakes in the Dry Valleys (lakes Hoare and Fryxell), the Vestfold Hills (lakes Ace, Druzhby, Grace, Highway, Pendant, Organic and Watts) and the Larsemann Hills (lake Reid), using hererotrophic growth conditions. These strains were investigated by fatty acid analysis, and by numerical analysis, 41 clusters, containing 2 to 77 strains, could be delineated, whereas 31 strains formed single branches. Several fatty acid groups consisted of strains from different lakes from the same region, or from different regions. The 16S rRNA genes from 40 strains, representing 35 different fatty acid groups were sequenced. The strains belonged to the alpha, beta and gamma subclasses of the Proteobacteria, the high and low percent G+C Gram-positives, and to the Cytophaga-Flavobacterium-Bacteroides branch. For strains representing 16 fatty acid clusters, validly named nearest phylogenetic neighbours showed pairwise sequence similarities of less than 97%. This indicates that the clusters they represent, belong to taxa that have not been sequenced yet or as yet unnamed new taxa, related to Alteromonas, Bacillus, Clavibacter, Cyclobacterium, Flavobacterium, Marinobacter, Mesorhizobium, Microbacterium, Pseudomonas, Saligentibacter, Sphingomonas and Sulfitobacter.</t>
  </si>
  <si>
    <t>State Univ Ghent, Microbiol Lab, Vakgrp Biochem Fysiol &amp; Microbiol, B-9000 Ghent, Belgium; State Univ Ghent, BCCM LMG Bacteria Collect, B-9000 Ghent, Belgium</t>
  </si>
  <si>
    <t>Ghent University; Ghent University</t>
  </si>
  <si>
    <t>Van Trappen, S (corresponding author), State Univ Ghent, Microbiol Lab, Vakgrp Biochem Fysiol &amp; Microbiol, KL Ledeganckstr 35, B-9000 Ghent, Belgium.</t>
  </si>
  <si>
    <t>Dawyndt, Peter SR/A-1566-2013</t>
  </si>
  <si>
    <t>Van Trappen, Stefanie/0000-0002-7431-4606; Dawyndt, Peter/0000-0002-1623-9070</t>
  </si>
  <si>
    <t>0723-2020</t>
  </si>
  <si>
    <t>SYST APPL MICROBIOL</t>
  </si>
  <si>
    <t>Syst. Appl. Microbiol.</t>
  </si>
  <si>
    <t>10.1078/07232020260517742</t>
  </si>
  <si>
    <t>642CW</t>
  </si>
  <si>
    <t>WOS:000180787600017</t>
  </si>
  <si>
    <t>Decker, DJ; Stewart, BS; Lehman, N</t>
  </si>
  <si>
    <t>Major histocompatibility complex class II DOA sequences from three Antarctic seal species verify stabilizing selection on the DO locus</t>
  </si>
  <si>
    <t>TISSUE ANTIGENS</t>
  </si>
  <si>
    <t>Antarctic; class II; DOA; MHC; seals</t>
  </si>
  <si>
    <t>HLA-DM; MHC; GENE; ALPHA; DNA; CHAIN; POLYMORPHISM; MOLECULES; ORIGINS</t>
  </si>
  <si>
    <t>To provide additional support for the sequence conservation and hence the regulatory role of the MHC class II DOA locus, we obtained the nucleotide sequences of exon 2 and exon 3, along with the intervening intron, of the Ross seal, and sequences from the exon 2 region from the Weddell and leopard seals. These are the first reports of the sequences of this locus from a carnivore species. The results demonstrate strong conservation among mammals for the exon sequence and produce a gene genealogy that is consistent in topology with a species tree.</t>
  </si>
  <si>
    <t>Portland State Univ, Dept Chem, Portland, OR 97207 USA; Hubbs SeaWorld Res Inst, San Diego, CA USA</t>
  </si>
  <si>
    <t>Portland State University</t>
  </si>
  <si>
    <t>Lehman, N (corresponding author), Portland State Univ, Dept Chem, POB 751, Portland, OR 97207 USA.</t>
  </si>
  <si>
    <t>Lehman, Niles/A-3434-2008; Lehman, Niles/ABF-7609-2021</t>
  </si>
  <si>
    <t>Lehman, Niles/0000-0002-9056-6600</t>
  </si>
  <si>
    <t>0001-2815</t>
  </si>
  <si>
    <t>Tissue Antigens</t>
  </si>
  <si>
    <t>10.1034/j.1399-0039.2002.600610.x</t>
  </si>
  <si>
    <t>Cell Biology; Immunology; Pathology</t>
  </si>
  <si>
    <t>642HG</t>
  </si>
  <si>
    <t>WOS:000180797700010</t>
  </si>
  <si>
    <t>Turpaeva, EP</t>
  </si>
  <si>
    <t>Shallow-water sea spiders (Pycnogonida) from the Kuril, commander, and Yamskii Islands. 1. Colossendeidae and Callipallenidae families</t>
  </si>
  <si>
    <t>ZOOLOGICHESKY ZHURNAL</t>
  </si>
  <si>
    <t>Russian</t>
  </si>
  <si>
    <t>Eight species and two subspecies from the families Colossendeidae and Callipallenidae were collected from the sublittoral zone of the Kuril Islands and at the Yamskii Islands (the northern Sea of Okhotsk). One species, Pseudopallene cirsularis is amphiboreal; two species, Collossendeis microsetosa, Hedgpethia borealis, and two subspecies. H. californica chitinosa and H. californica bicornis, are north-pacific forms; the rest were found in this region for the first time. Three new species were described. C. losinskii, Austropallene lukini, and P. collaris. One species, Oropallene sp. is not identified. C. losinskii and Oropallene sp. show more morphological affinities to Antarctic species than to north-pacific ones. The genus Austropallene was known only from the Antarctic. Relations between the pycnogonid fauna of the northwestern Pacific and the Antarctic have been revealed.</t>
  </si>
  <si>
    <t>Russian Acad Sci, Inst Oceanol, Moscow 117218, Russia</t>
  </si>
  <si>
    <t>Turpaeva, EP (corresponding author), Russian Acad Sci, Inst Oceanol, Moscow 117218, Russia.</t>
  </si>
  <si>
    <t>MEZHDUNARODNAYA KNIGA</t>
  </si>
  <si>
    <t>MOSCOW</t>
  </si>
  <si>
    <t>39 DIMITROVA UL., 113095 MOSCOW, RUSSIA</t>
  </si>
  <si>
    <t>0044-5134</t>
  </si>
  <si>
    <t>ZOOL ZH</t>
  </si>
  <si>
    <t>Zool. Zhurnal</t>
  </si>
  <si>
    <t>633AR</t>
  </si>
  <si>
    <t>WOS:000180257500004</t>
  </si>
  <si>
    <t>Galindo-Zaldívar, J; Balanyá, JC; Bohoyo, F; Jabaloy, A; Maldonado, A; Martínez-Martínez, JM; Rodríguez-Fernández, J; Suriñach, E</t>
  </si>
  <si>
    <t>Active crustal fragmentation along the Scotia-Antarctic plate boundary east of the South Orkney Microcontinent (Antarctica)</t>
  </si>
  <si>
    <t>EARTH AND PLANETARY SCIENCE LETTERS</t>
  </si>
  <si>
    <t>Scotia-Antarctic plate boundary; multichannel seismic profiles; gravity; crustal deformation; deep basins</t>
  </si>
  <si>
    <t>WEDDELL SEA; MANTLE FLOW; RIDGE; BASIN; TECTONICS; OCEAN</t>
  </si>
  <si>
    <t>The structure of the Scotia-Antarctic plate boundary is poorly known east of the South Orkney Microcontinent. New multichannel seismic profiles, together with magnetic, gravity and swath bathymetry data obtained during the SCAN97 cruise, show a complex relief of raised blocks and elongated depressions that may reach more than 6000 m in depth. These depressions develop in relation with extensional active structures and constitute an uncommon feature in the oceans, where most of the trenches are formed in subduction contexts. The main crustal elements of the area include the oceanic crust of the Scotia Plate, the Discovery Bank composed of continental crust, a tectonic domain with intermediate features between continental and oceanic crusts that includes the Southern Bank, and the oceanic crust of the northern Weddell Sea, representing the Antarctic Plate. The Intermediate Domain was probably developed during the Late Cenozoic subduction of the Weddell Sea oceanic crust below the Discovery Bank. The fault zone associated with the plate boundary is characterized at present by sinistral transcurrent and transtensional slips, which develop a NE-SW elongated deep pull-apart basin with extreme crustal thinning and mantle uplift. The complex bathymetry and structure of the plate boundary are consequences of the presence of continental and intermediate crusts - where the deformations are concentrated - between the two stable oceanic domains. The location of a major part of the plate boundaries around the Scotia Arc is probably determined by the position of the continental and intermediate crustal fragments surrounded by oceanic crust, due to the differential behavior experienced during deformation. (C) 2002 Elsevier Science B.V. All rights reserved.</t>
  </si>
  <si>
    <t>Univ Granada, Dept Geodinam, E-18071 Granada, Spain; Univ Pablo Olavide, Dept Ciencias Expt, Seville, Spain; Univ Granada, Inst Andaluz Ciencias Tierra, CSIC, Fac Ciencias, Granada 18002, Spain; Univ Barcelona, Dept Geodinam &amp; Geofis, Barcelona, Spain</t>
  </si>
  <si>
    <t>University of Granada; Universidad Pablo de Olavide; Consejo Superior de Investigaciones Cientificas (CSIC); CSIC - Instituto Andaluz de Ciencias de la Tierra (IACT); University of Granada; University of Barcelona</t>
  </si>
  <si>
    <t>Galindo-Zaldívar, J (corresponding author), Univ Granada, Dept Geodinam, E-18071 Granada, Spain.</t>
  </si>
  <si>
    <t>Bohoyo, Fernando/C-1062-2011; Galindo-Zaldivar, Jesus/K-3640-2012; JABALOY SANCHEZ, ANTONIO/L-2955-2014; Bohoyo, Fernando/AAZ-5990-2021; Surinach, Emma/C-5896-2008; RODRIGUEZ-FERNANDEZ, JOSE/L-7077-2014</t>
  </si>
  <si>
    <t>Bohoyo, Fernando/0000-0002-1044-8816; Galindo-Zaldivar, Jesus/0000-0002-3493-2637; JABALOY SANCHEZ, ANTONIO/0000-0001-5830-5913; Bohoyo, Fernando/0000-0002-1044-8816; RODRIGUEZ-FERNANDEZ, JOSE/0000-0003-0349-9209; Martinez Martinez, Jose Miguel/0000-0002-8178-0904; Balanya Roure, Juan Carlos/0000-0001-6008-4718</t>
  </si>
  <si>
    <t>0012-821X</t>
  </si>
  <si>
    <t>EARTH PLANET SC LETT</t>
  </si>
  <si>
    <t>Earth Planet. Sci. Lett.</t>
  </si>
  <si>
    <t>NOV 30</t>
  </si>
  <si>
    <t>PII S0012-821X(02)00959-7</t>
  </si>
  <si>
    <t>10.1016/S0012-821X(02)00959-7</t>
  </si>
  <si>
    <t>619LJ</t>
  </si>
  <si>
    <t>WOS:000179477200003</t>
  </si>
  <si>
    <t>Bender, ML</t>
  </si>
  <si>
    <t>Orbital tuning chronology for the Vostok climate record supported by trapped gas composition</t>
  </si>
  <si>
    <t>Pleistocene; paleoclimatology; ice cores; orbital tuning; geochronology</t>
  </si>
  <si>
    <t>ICE CORE; RADIATIVE-TRANSFER; ANTARCTIC SNOW; GREENLAND; FIRN; TEMPERATURE; RATES; O-2; AIR; DENSIFICATION</t>
  </si>
  <si>
    <t>We present data on the O-2/N-2 ratios of trapped gas samples for the entire length of the Vostok climate record. As in other cores, O-2/N-2 ratios in these samples are less than the atmospheric ratio, by a small and variable amount, because O-2 is selectively excluded during the gas trapping process, and because O-2 is also preferentially lost in poorly preserved core samples. Samples younger than 150 ka have large and variable O-2 depletions. Samples older than 200 ka have O-2/N-2 ratios that replicate well and vary smoothly with depth. We plot O-2/N-2 ratios of well replicated samples older than 160 ka, using a chronology derived by matching the delta(18)O of paleoatmospheric O-2 (delta(18)O(atm)) to northern hemisphere June insolation. On this timescale, O-2/N-2 varies coherently with local (78degreesS) summertime insolation. Based on time series analysis of the O-2/N-2 record and the dynamics of snow metamorphism at the surface, we conclude that summertime insolation influences physical properties of ice grains that control the degree of O-2 exclusion during bubble closeoff. O-2/N-2 in Vostok is thus arguably a property that records local summertime insolation and can be used to test independent chronologies for the core. We show that the delta(18)O(atm) chronology, supported by the coincidence of O-2/N-2 ratios with insolation, is also compatible with recent radiometric dating of corals from high sea stands. We further successfully test the delta(18)O(atm) tuning chronology by showing that it predicts a chronology for the GISP2 core which is essentially indistinguishable from the standard GISP2 chronology and, therefore, in excellent agreement with the radiometric chronology of Hulu Cave, China. An accurate chronology for the Vostok ice core is now in place. (C) 2002 Elsevier Science B.V. All rights reserved.</t>
  </si>
  <si>
    <t>Princeton Univ, Dept Geosci, Princeton, NJ 08544 USA</t>
  </si>
  <si>
    <t>Princeton University</t>
  </si>
  <si>
    <t>Princeton Univ, Dept Geosci, Princeton, NJ 08544 USA.</t>
  </si>
  <si>
    <t>bender@princeton.edu</t>
  </si>
  <si>
    <t>1385-013X</t>
  </si>
  <si>
    <t>PII S0012-821X(02)00980-9</t>
  </si>
  <si>
    <t>10.1016/S0012-821X(02)00980-9</t>
  </si>
  <si>
    <t>WOS:000179477200019</t>
  </si>
  <si>
    <t>Vallelonga, P; Van de Velde, K; Candelone, JP; Morgan, VI; Boutron, CF; Rosman, KJR</t>
  </si>
  <si>
    <t>The lead pollution history of Law Dome, Antarctica, from isotopic measurements on ice cores: 1500 AD to 1989 AD</t>
  </si>
  <si>
    <t>lead isotopes; Antarctica; pollution; Law Dome; barium; ice</t>
  </si>
  <si>
    <t>ANTHROPOGENIC LEAD; HEAVY-METALS; GREENLAND SNOW; SOUTHERN-HEMISPHERE; ATMOSPHERIC LEAD; NATURAL LEAD; TRACE-METALS; RECORD; ENVIRONMENT; EMISSIONS</t>
  </si>
  <si>
    <t>Lead isotopic compositions and Pb and Ba concentrations have been measured in ice cores from Law Dome, East Antarctica, covering the past 6500 years. 'Natural' background concentrations of Pb (similar to0.4 pg/g) and Ba (similar to1.3 pg/g) are observed until 1884 AD, after which increased Pb concentrations and lowered Ph-206/Ph-207 ratios indicate the influence of anthropogenic Pb. The isotopic composition of 'natural' Pb varies within the range Pb-206/Pb-207 = 1.20-1.25 and Pb-208/Pb-207 = 2.46-2.50, with an average rock and soil dust Pb contribution of 8-12%. A major pollution event is observed at Law Dome between 1884 and 1908 AD, elevating the Pb concentration four-fold and changing Pb-206/Pb-207 ratios in the ice to similar to1.12. Based on Pb isotopic systematics and Pb emission statistics, this is attributed to Pb mined at Broken Hill and smelted at Broken Hill and Port Pirie, Australia. Anthropogenic Pb inputs are at their greatest from similar to1900 to similar to1910 and from similar to1960 to similar to1980. During the 20th century, Ba concentrations are consistently higher than 'natural' levels and are attributed to increased dust production, suggesting the influence of climate change and/or changes in land coverage with vegetation. (C) 2002 Elsevier Science B.V. All rights reserved.</t>
  </si>
  <si>
    <t>Curtin Univ Technol, Dept Appl Phys, Perth, WA 6845, Australia; Antarctic CRC, Hobart, Tas 7001, Australia; Australian Antarctic Div, Hobart, Tas 7001, Australia; CNRS, Lab Glaciol &amp; Geophys Environm, F-38402 St Martin Dheres, France</t>
  </si>
  <si>
    <t>Curtin University; Australian Antarctic Division; Centre National de la Recherche Scientifique (CNRS)</t>
  </si>
  <si>
    <t>Vallelonga, P (corresponding author), Curtin Univ Technol, Dept Appl Phys, GPO Box U 1987, Perth, WA 6845, Australia.</t>
  </si>
  <si>
    <t>Vallelonga, Paul/I-9650-2016</t>
  </si>
  <si>
    <t>Vallelonga, Paul/0000-0003-1055-7235</t>
  </si>
  <si>
    <t>PII S0012-821X(02)00983-4</t>
  </si>
  <si>
    <t>10.1016/S0012-821X(02)00983-4</t>
  </si>
  <si>
    <t>WOS:000179477200020</t>
  </si>
  <si>
    <t>Simpson, D</t>
  </si>
  <si>
    <t>Antarctic fungi</t>
  </si>
  <si>
    <t>NEW SCIENTIST</t>
  </si>
  <si>
    <t>REED BUSINESS INFORMATION LTD</t>
  </si>
  <si>
    <t>SUTTON</t>
  </si>
  <si>
    <t>QUADRANT HOUSE THE QUADRANT, SUTTON SM2 5AS, SURREY, ENGLAND</t>
  </si>
  <si>
    <t>0262-4079</t>
  </si>
  <si>
    <t>NEW SCI</t>
  </si>
  <si>
    <t>New Sci.</t>
  </si>
  <si>
    <t>622MY</t>
  </si>
  <si>
    <t>WOS:000179651900036</t>
  </si>
  <si>
    <t>D'Amico, S; Gerday, C; Feller, G</t>
  </si>
  <si>
    <t>Dual effects of an extra disulfide bond on the activity and stability of a cold-adapted α-amylase</t>
  </si>
  <si>
    <t>JOURNAL OF BIOLOGICAL CHEMISTRY</t>
  </si>
  <si>
    <t>ALTEROMONAS-HALOPLANCTIS; TEMPERATURE ADAPTATION; PSYCHROPHILIC ENZYMES; ANGSTROM RESOLUTION; GLOBULAR-PROTEINS; INHIBITOR; MUTANTS; BARNASE; FLEXIBILITY; ACTIVATION</t>
  </si>
  <si>
    <t>Chloride-dependent alpha-amylases constitute a well conserved family of enzymes thereby allowing investigation of the characteristics of each member to understand, for example, relevant properties required for environmental adaptation. In this context, we have constructed a double mutant (Q58C/A99C) of the cold-active and heat-labile alpha-amylase from the Antarctic bacterium Pseudoalteromonas haloplanktis, defined on the basis of its strong similarity with the mesophilic enzyme from pig pancreas. This mutant was characterized to understand the role of an extra disulfide bond specific to warm-blooded animals and located near the entrance of the catalytic cleft. We show that the catalytic parameters of the mutant are drastically modified and similar to those of the mesophilic enzyme. Calorimetric studies demonstrated that the mutant is globally stabilized (DeltaDeltaG = 1.87 kcal/mol at 20 degreesC) when compared with the wild-type enzyme, although the melting point (T-m) was not increased. Moreover, fluorescence quenching experiments indicate a more compact structure for the mutated a-amylase. However, the strain imposed on the active site architecture induces a 2-fold higher thermal inactivation rate at 45 degreesC as well as the appearance of a less stable calorimetric domain. It is concluded that stabilization by the extra disulfide bond arises from an enthalpy-entropy compensation effect favoring the enthalpic contribution.</t>
  </si>
  <si>
    <t>Univ Liege, Biochem Lab, Inst Chem B6, B-4000 Liege, Belgium</t>
  </si>
  <si>
    <t>University of Liege</t>
  </si>
  <si>
    <t>Feller, G (corresponding author), Univ Liege, Biochem Lab, Inst Chem B6, B-4000 Liege, Belgium.</t>
  </si>
  <si>
    <t>sdamico@ulg.ac.be</t>
  </si>
  <si>
    <t>AMER SOC BIOCHEMISTRY MOLECULAR BIOLOGY INC</t>
  </si>
  <si>
    <t>9650 ROCKVILLE PIKE, BETHESDA, MD 20814-3996 USA</t>
  </si>
  <si>
    <t>0021-9258</t>
  </si>
  <si>
    <t>1083-351X</t>
  </si>
  <si>
    <t>J BIOL CHEM</t>
  </si>
  <si>
    <t>J. Biol. Chem.</t>
  </si>
  <si>
    <t>NOV 29</t>
  </si>
  <si>
    <t>10.1074/jbc.M207253200</t>
  </si>
  <si>
    <t>620JB</t>
  </si>
  <si>
    <t>hybrid, Green Published</t>
  </si>
  <si>
    <t>WOS:000179529300054</t>
  </si>
  <si>
    <t>Jacobson, D</t>
  </si>
  <si>
    <t>The coldest march: Scott's fatal Antarctic expedition</t>
  </si>
  <si>
    <t>NEW YORK REVIEW OF BOOKS</t>
  </si>
  <si>
    <t>NEW YORK REVIEW</t>
  </si>
  <si>
    <t>1755 BROADWAY, 5TH FLOOR, NEW YORK, NY 10019 USA</t>
  </si>
  <si>
    <t>0028-7504</t>
  </si>
  <si>
    <t>1944-7744</t>
  </si>
  <si>
    <t>NEW YORK REV BOOKS</t>
  </si>
  <si>
    <t>N. Y. Rev. Books</t>
  </si>
  <si>
    <t>NOV 21</t>
  </si>
  <si>
    <t>Humanities, Multidisciplinary</t>
  </si>
  <si>
    <t>Arts &amp; Humanities - Other Topics</t>
  </si>
  <si>
    <t>610ED</t>
  </si>
  <si>
    <t>WOS:000178947000025</t>
  </si>
  <si>
    <t>Carter, L; Neil, HL; Northcote, L</t>
  </si>
  <si>
    <t>Late quaternary ice-rafting events in the SW Pacific Ocean, off eastern New Zealand</t>
  </si>
  <si>
    <t>ice-rafted debris; palaeoclimate; Antarctica; Antarctic Circumpolar Current; Campbell plateau</t>
  </si>
  <si>
    <t>ANTARCTIC CIRCUMPOLAR CURRENT; INTERPRETING ICEBERG DEPOSITS; SOUTHWEST PACIFIC; NORTH-ATLANTIC; DEEP-SEA; CIRCULATION; SEDIMENTS; DISCHARGES; HISTORY; OCEANOGRAPHY</t>
  </si>
  <si>
    <t>New records of ice-rafted debris (IRD) in eight cores from Campbell Plateau reveal periodic incursions of icebergs over the last 200 kyr. Observations of modern iceberg trajectories and provenance studies show the icebergs originated mainly in Antarctica and traveled east and north to the plateau margins via the Antarctic Circumpolar Current. There, local currents and winds dispersed icebergs across the plateau and adjacent regions as far north as Chatham Rise at 43degreesS. The shallow rise crest, along-rise circulation and strong thermal gradient associated with the nearby Subtropical Front inhibited further northward transport. Although IRD concentrations are very low (less than or equal to 26 grains/g), downcore profiles and a 6110 chronology reveal distinct peaks during (i) the transition from marine isotope stages (MIS) 7 to 6, (ii) late interglacial MIS 5 and (iii) glacial MIS 2. In addition, smaller peaks occur in MIS 4 and 3. This generalised pattern is also evident off Antarctica, indicating that periodic destabilisation of ice shelves was the main driving force behind the Campbell Plateau IRD,events. However, there are significant differences between Antarctic and New Zealand IRD records that probably reflect palaeoceanographic influences on iceberg dispersal. The MIS 5 IRD event is better represented off Antarctica, confirming that last interglacial changes in sea level and temperatures encouraged iceberg discharge and proximal melting. Conversely, the MIS 2 event is relatively better shown on Campbell Plateau, implying that last glacial temperatures inhibited proximal iceberg melting and, together with a more vigorous oceanic circulation, allowed more icebergs to reach the distant plateau. A tentative correlation with records from the Southeast Atlantic and Southwest Indian oceans suggests that the IRD events were felt over much of the Southern Ocean for at least the last 70 kyr. (C) 2002 Elsevier Science B.V. All rights reserved.</t>
  </si>
  <si>
    <t>NIWA, Wellington, New Zealand</t>
  </si>
  <si>
    <t>National Institute of Water &amp; Atmospheric Research (NIWA) - New Zealand</t>
  </si>
  <si>
    <t>Carter, L (corresponding author), NIWA, POB 14 901, Wellington, New Zealand.</t>
  </si>
  <si>
    <t>l.carter@niwa.cri.nz</t>
  </si>
  <si>
    <t>NOV 20</t>
  </si>
  <si>
    <t>PII S0025-3227(02)00509-1</t>
  </si>
  <si>
    <t>10.1016/S0025-3227(02)00509-1</t>
  </si>
  <si>
    <t>611GN</t>
  </si>
  <si>
    <t>WOS:000179008200002</t>
  </si>
  <si>
    <t>Robert, C; Diester-Haass, L; Chamley, H</t>
  </si>
  <si>
    <t>Late Eocene-Oligocene oceanographic development at southern high latitudes, from terrigenous and biogenic particles: a comparison of Kerguelen Plateau and Maud Rise, ODP Sites 744 and 689</t>
  </si>
  <si>
    <t>clay minerals; productivity; paleogene; Antarctica; Southern Ocean</t>
  </si>
  <si>
    <t>ANTARCTIC OCEAN; STABLE-ISOTOPE; MIDDLE EOCENE; SEDIMENTOLOGICAL EVIDENCE; BENTHIC FORAMINIFERA; CENOZOIC EVOLUTION; INDIAN-OCEAN; ICE-SHEET; SEA; PALEOCEANOGRAPHY</t>
  </si>
  <si>
    <t>Detailed investigation (630 samples) of clay mineral assemblages and benthic foraminifer accumulation rates (BFAR) as a proxy for paleoproductivity has been conducted on two late Eocene-Oligocene sequences drilled at intermediate water depths of the Kerguelen Plateau and Maud Rise (Southern Ocean). Distinct changes in clay assemblages and BFAR - that are in general a factor two higher on the Maud Rise compared to the Kerguelen Plateau - unravel a step-by-step evolution of marine and continental Antarctic environments that eventually resulted in permanent ice coverage and dense cold water formation: (1) late Eocene dominance of chemical weathering was associated with intermittent erosion of Antarctic soils and substrates. Main erosional events are recorded at 36 and 34 Ma, prior to the major earliest Oligocene glacial event, and are especially noticeable in the Indian sector of the Southern Ocean; (2) physical weathering progressed in continental areas adjacent to the Maud Rise and intermediate water production intensified in the Indian sector of the Southern Ocean throughout the Eocene-Oligocene transition, as the Tasmanian seaway developed. Environmental changes and a strong 600 kyr lasting peak of paleoproductivity seem closely associated with the earliest Oligocene isotope shift and the accumulation of ice-rafted detritus on the Kerguelen Plateau; (3) aridity and physical weathering progressed in East Antarctica near the Maud Rise (Site 689) at 33.2-33.15 Ma, as polar transfer of heat within the deep ocean increased slightly. This may have prevented extensive ice development during at least part of the early Oligocene; (4) increased productivity, vertical mixing and turnover at Site 744 on the Kerguelen Plateau, followed by a two-step increase of physical weathering on the adjacent continent from 32 to 31.2 Ma, suggest progressive homogenization of climates and circulation as the passageway South of Tasmania widened and deepened; (5) physical weathering reached a maximum in East Antarctic areas adjacent to the Maud Rise and a hiatus developed on the Kerguelen Plateau during the mid-Oligocene Oi2-Oi2a interval (31-26.5 Ma), in possible relation with opening processes of the modern Drake Passage and Scotia Sea and a further step in the development of oceanic circumpolar circulation; (6) near-400-kyr cycles of productivity and clay mineral composition throughout the two sequences suggest that orbital frequencies played a role in the small-scale variations of both continental and marine Antarctic environments of the late Paleogene. (C) 2002 Elsevier Science B.V. All rights reserved.</t>
  </si>
  <si>
    <t>UMR Processus &amp; Bilans Domaines Sedimentaires, F-13288 Marseille 9, France; Ctr Oceanol Marseille, F-13288 Marseille 9, France; Univ Saarland, Zentrum Umweltforsch, D-66041 Saarbrucken, Germany; Univ Lille 1, F-59655 Villeneuve Dascq, France</t>
  </si>
  <si>
    <t>Saarland University; Universite de Lille</t>
  </si>
  <si>
    <t>UMR Processus &amp; Bilans Domaines Sedimentaires, Luminy Case 901, F-13288 Marseille 9, France.</t>
  </si>
  <si>
    <t>robert@com.univ-mrs.fr</t>
  </si>
  <si>
    <t>ROBERT, Christian/0000-0003-1324-1295</t>
  </si>
  <si>
    <t>PII S0025-3227(02)00508-X</t>
  </si>
  <si>
    <t>10.1016/S0025-3227(02)00508-X</t>
  </si>
  <si>
    <t>WOS:000179008200003</t>
  </si>
  <si>
    <t>Howe, JA; Harland, R; Pudsey, CJ</t>
  </si>
  <si>
    <t>Dinoflagellate cyst evidence for Quaternary palaeoceanographic change in the northern Scotia Sea, South Atlantic Ocean</t>
  </si>
  <si>
    <t>Antarctic Circumpolar Current; dinollagellate cysts; palaeoceanography; glacial cycles; radiocarbon dating</t>
  </si>
  <si>
    <t>ANTARCTIC CIRCUMPOLAR CURRENT; FALKLAND TROUGH; WEDDELL SEAS; DEEP-WATER; SEDIMENTS; PRESERVATION; CIRCULATION; CLIMATE; HISTORY; EVENTS</t>
  </si>
  <si>
    <t>A dinoflagellate cyst record has been examined from two cores recovered from the crest and margins of a sediment drift in water depths of 3500-4500 m in the northern Scotia Sea, South Atlantic Ocean. 46 dinoflagellate cyst analyses have been conducted, covering a time-span ranging from the Holocene down to MIS 6, representing about 160 ka. This provides a resolution of approximately 3500 years. The sediments are predominantly fine-grained contourites and diatom-rich hemipelagites, capped by sandy-silty contourites rich in the planktonic foraminifer Neogloboquadrina pachyderma. The cores can be subdivided into four dinoflagellate cyst units, supported by diatom and radiolarian biostratigraphy, biogenic barium geochemistry, oxygen isotopes and magnetic susceptibility curves. The youngest dinoflagellate cyst unit was found only in the core from the drift crest, and has been dated at between 4380 and 12275 yr BP by radiocarbon dating. The unit is characterised by autotrophic dinoflagellate cysts with similarities to modem cysts from the region, although the assemblages display some marked internal variability that may suggest rather unstable Holocene oceanographic conditions. The next downhole unit was found in both cores and provided radiocarbon ages of 14 580 yr BP and 16 840 yr BP. Recovered cyst assemblages suggest deposition within or near to maximum sea ice limits, corresponding to a northward shift of the Antarctic Convergence during the Last Glacial Maximum within oxygen Marine Isotope Stage (MIS) 2. The final two units lack radiocarbon age control. The next downhole unit is characterised by heterotrophic dinoflagellate cysts such as round, brown Protoperidinium spp. and Selenopemphix antarctica, indicating deposition within maximum sea ice limits. This unit has a wide age range within MIS 5a-d including MIS 6. Toward the base of this unit the assemblage contains autotrophic dinoflagellate cysts such as Impagidium spp., Protoceratium reticulatum and Spiniferites spp., indicative of warmer, interglacial conditions, suggesting a retreat of the Antarctic Convergence and interpreted as MIS 5e, the last interglacial. MIS 3-4 are not resolved by the dinoflagellate cysts. The oldest unit recovered is marked by a return to heterotrophic dinoflagellate cysts with deposition in the presence of seasonal sea ice and open water, suggesting the Antarctic Convergence was now northward of the core site. The dinoflagellate cyst assemblages recovered from the cores illustrate the glacial-interglacial dynamism between two important biogeographical boundaries; the Antarctic Convergence. to the north and the maximum sea ice limit toward the south. (C) 2002 Elsevier Science B.V. All rights reserved.</t>
  </si>
  <si>
    <t>Scottish Assoc Marine Sci, Dunstaffnage Marine Lab, Oban PA34 4AD, Argyll, Scotland; DinoData Serv, Nottingham NG13 8AH, England; Univ Sheffield, Palynol Res Facil, Dept Anim &amp; Plant Sci, Sheffield S3 7HF, S Yorkshire, England; British Antarctic Survey, Cambridge CB3 0ET, England</t>
  </si>
  <si>
    <t>UHI Millennium Institute; University of Sheffield; UK Research &amp; Innovation (UKRI); Natural Environment Research Council (NERC); NERC British Antarctic Survey</t>
  </si>
  <si>
    <t>Howe, JA (corresponding author), Scottish Assoc Marine Sci, Dunstaffnage Marine Lab, Oban PA34 4AD, Argyll, Scotland.</t>
  </si>
  <si>
    <t>PII S0025-3227(02)00498-X</t>
  </si>
  <si>
    <t>10.1016/S0025-3227(02)00498-X</t>
  </si>
  <si>
    <t>WOS:000179008200004</t>
  </si>
  <si>
    <t>Chown, M</t>
  </si>
  <si>
    <t>Theory of everything - Antarctic neutrinotrap comes with superstrings attached</t>
  </si>
  <si>
    <t>News Item</t>
  </si>
  <si>
    <t>NEW SCIENTIST LTD</t>
  </si>
  <si>
    <t>25 BEDFORD ST, LONDON, ENGLAND</t>
  </si>
  <si>
    <t>NOV 16</t>
  </si>
  <si>
    <t>616QR</t>
  </si>
  <si>
    <t>WOS:000179314900018</t>
  </si>
  <si>
    <t>Yamanaka, Y; Kazuoka, T; Yoshida, M; Yamanaka, K; Oikawa, T; Soda, K</t>
  </si>
  <si>
    <t>Thermostable aldehyde dehydrogenase from psychrophile, Cytophaga sp KUC-1:: enzymological characteristics and functional properties</t>
  </si>
  <si>
    <t>BIOCHEMICAL AND BIOPHYSICAL RESEARCH COMMUNICATIONS</t>
  </si>
  <si>
    <t>psychrophile; Cytophaga; aldehyde dehydrogenase; thermostable; pro-R stereospecificity; circular dichroism; transition temperature</t>
  </si>
  <si>
    <t>ANTARCTIC PSYCHROPHILE; PROTEIN THERMOSTABILITY; ALCOHOL-DEHYDROGENASE; PURIFICATION; STABILITY; STEREOSPECIFICITY; EXPRESSION; SYNTHASE; STRAIN</t>
  </si>
  <si>
    <t>We found the occurrence of NAD(P)(+)-dependent aldehyde dehydrogenase (EC1.2.1.5) in the cells of a psychrophile from Antarctic seawater, Cytophaga sp. KUC-1, and purified to homogeneity. About 50% of the enzyme activity remained even after heating at 50degreesC for 65 min and the highest activity was observed in the range of 55-60degreesC. The enzyme was thermostable and thermophilic, although it was derived from a psychrophile. The circular dichroism at 222 nm of the enzyme showed a peak at 32 degreesC. This temperature was closely similar to the transition temperature in the Arrhenius plots. The stereo specificity for the hydride transfer at C4-site of nicotinamide moiety of NADH was pro-R. The gene encoding the enzyme consisted of an open reading frame of 1506-bp encoding a protein of 501 amino acid residues. The significant sequence identity (61%) was found between the Cytophaga and the Pseudomonas aeruginosa enzymes, although their thermostabilities are completely different. (C) 2002 Elsevier Science (USA). All rights reserved.</t>
  </si>
  <si>
    <t>Yamanaka, Kazuya/AFQ-2728-2022</t>
  </si>
  <si>
    <t>Yamanaka, Kazuya/0000-0002-6141-697X</t>
  </si>
  <si>
    <t>0006-291X</t>
  </si>
  <si>
    <t>BIOCHEM BIOPH RES CO</t>
  </si>
  <si>
    <t>Biochem. Biophys. Res. Commun.</t>
  </si>
  <si>
    <t>NOV 15</t>
  </si>
  <si>
    <t>PII S0006-291X(02)02523-8</t>
  </si>
  <si>
    <t>10.1016/S0006-291X(02)02523-8</t>
  </si>
  <si>
    <t>617RK</t>
  </si>
  <si>
    <t>WOS:000179374500002</t>
  </si>
  <si>
    <t>Lin, SC; Chiao, LY; Kuo, BY</t>
  </si>
  <si>
    <t>Dynamic interaction of cold anomalies with the mid-ocean ridge flow field and its implications for the Australian-Antarctic Discordance</t>
  </si>
  <si>
    <t>thermal anomalies; viscosity; dynamic flow; rifting; AAD; subsidence</t>
  </si>
  <si>
    <t>CONVECTION; VISCOSITY; SUBSIDENCE; EVOLUTION; BENEATH; SOUTH</t>
  </si>
  <si>
    <t>Negative thermal anomalies beneath a mid-ocean ridge are dynamically isolated from the ambient upwelling and diverging flow field in the asthenosphere whose viscosity is on the order of 5 x 10(19) Pa s or less. This study examines on what condition a near-ridge cold anomaly ascends with the upwelling passive flow and. spread off-axis. Three-dimensional numerical modeling demonstrates that, for a given magnitude of the cold anomaly, the viscosity of the asthenosphere, the spreading rate and the interference from continental rifting are the dominant controlling factors to the ascent/descent of the anomaly. To overcome the weight of such an anomaly and couple it with the upwelling, either the spreading rate or the asthenospheric viscosity has to be high. In a low viscosity asthenosphere, the cold anomaly also ascends during the early stage of continental rifting due to the enhanced upwelling induced by the thick continental lithosphere. The dynamic interaction between the cold anomaly and the ambient flow renders a transient nature of the subsidence of the seafloor, which may lead to exaggerated temperature variation estimated by using a conduction model alone. The scenarios examined are employed to place a constraint on dynamic models recently proposed for the Australian-Antarctic Discordance, in which the source of the negative anomaly is hypothesized to be deeply rooted in the upper mantle. With the asthenospheric viscosity less than 1020 Pa s, the upwelling of the cooler material from great depths, which causes a significant topographic low at the Discordance, is made possible only by rifting of the Australian continent off the Gondwanaland. (C) 2002 Elsevier Science B.V. All rights reserved.</t>
  </si>
  <si>
    <t>Natl Taiwan Univ, Inst Oceanog, Taipei 10764, Taiwan; Acad Sinica, Inst Earth Sci, Taipei 115, Taiwan</t>
  </si>
  <si>
    <t>National Taiwan University; Academia Sinica - Taiwan</t>
  </si>
  <si>
    <t>Natl Taiwan Univ, Inst Oceanog, Taipei 10764, Taiwan.</t>
  </si>
  <si>
    <t>sky@earth.sinica.edu.tw</t>
  </si>
  <si>
    <t>Kuo, Ban-Yuan/S-5573-2016</t>
  </si>
  <si>
    <t>Chiao, Ling-Yun/0000-0002-4619-7561</t>
  </si>
  <si>
    <t>PII S0012-821X(02)00948-2</t>
  </si>
  <si>
    <t>10.1016/S0012-821X(02)00948-2</t>
  </si>
  <si>
    <t>614EY</t>
  </si>
  <si>
    <t>WOS:000179176400011</t>
  </si>
  <si>
    <t>Hnat, B; Chapman, SC; Rowlands, G; Watkins, NW; Freeman, MP</t>
  </si>
  <si>
    <t>Scaling of solar wind ε and the AU, AL and AE indices as seen by WIND -: art. no. 2078</t>
  </si>
  <si>
    <t>AURORAL ELECTROJET INDEX; NONLINEAR DYNAMICS; MAGNETOSPHERE; FLUCTUATIONS; CRITICALITY; BEHAVIOR; SPACE</t>
  </si>
  <si>
    <t>We apply the finite size scaling technique to quantify the statistical properties of fluctuations in AU, AL and AE indices and in the epsilon parameter that represents energy input from the solar wind into the magnetosphere. We find that the exponents needed to rescale the probability density functions (PDF) of the fluctuations are the same to within experimental error for all four quantities. This self-similarity persists for time scales up to similar to4 hours for AU, AL and epsilon and up to similar to2 hours for AE. Fluctuations on shorter time scales than these are found to have similar long-tailed (leptokurtic) PDF, consistent with an underlying turbulent process. These quantitative and model-independent results place important constraints on models for the coupled solar wind-magnetosphere system.</t>
  </si>
  <si>
    <t>Univ Warwick, Dept Phys, Space &amp; Astrophys Grp, Coventry CV4 7AJ, W Midlands, England; British Antarctic Survey, NERC, Cambridge CB3 0ET, England</t>
  </si>
  <si>
    <t>University of Warwick; UK Research &amp; Innovation (UKRI); Natural Environment Research Council (NERC); NERC British Antarctic Survey</t>
  </si>
  <si>
    <t>Univ Warwick, Dept Phys, Space &amp; Astrophys Grp, Gibbet Hill Rd, Coventry CV4 7AJ, W Midlands, England.</t>
  </si>
  <si>
    <t>Watkins, Nicholas Wynn/C-5140-2008; Watkins, Nick/GPX-7439-2022; Chapman, Sandra/C-2216-2008; Freeman, Mervyn/E-5687-2019</t>
  </si>
  <si>
    <t>Watkins, Nicholas Wynn/0000-0003-4484-6588; Watkins, Nick/0000-0003-4484-6588; Chapman, Sandra/0000-0003-0053-1584; Freeman, Mervyn/0000-0002-8653-8279</t>
  </si>
  <si>
    <t>10.1029/2002GL016054</t>
  </si>
  <si>
    <t>639FM</t>
  </si>
  <si>
    <t>Green Published, Green Submitted, Bronze</t>
  </si>
  <si>
    <t>WOS:000180617000034</t>
  </si>
  <si>
    <t>Lunt, DJ; Valdes, PJ</t>
  </si>
  <si>
    <t>Dust deposition and provenance at the Last Glacial Maximum and present day</t>
  </si>
  <si>
    <t>GENERAL-CIRCULATION MODEL; CENTER CLIMATE MODEL; DESERT DUST; ICE CORE; ANTARCTICA; GREENLAND; TRANSPORT; AEROSOLS; STAGE-2; IMPACT</t>
  </si>
  <si>
    <t>Ice and ocean core data suggest an increase in atmospheric dust loading at the Last Glacial Maximum, 21,000 years ago, relative to the present day. We present results from a new dust model; in contrast to previous modelling studies, we correctly simulate the observed provenance data in both Antarctica and Greenland, and obtain reasonable agreement with the dust deposition data. The observed increases are attributable to decreases in vegetation, increased surface wind strength, and increased particle lifetime (due to the drier LGM climate). The Patagonian provenance of Antarctic LGM dust is linked to a decrease in soil moisture and an extension in area of the source region, and a high transport efficiency between the two regions. The results show a high degree of interannual variability, which must be taken into account when interpreting previous modelling results.</t>
  </si>
  <si>
    <t>Univ Reading, Dept Meteorol, Reading RG6 6BB, Berks, England</t>
  </si>
  <si>
    <t>University of Reading</t>
  </si>
  <si>
    <t>Lunt, DJ (corresponding author), Univ Reading, Dept Meteorol, Earley Gate,POB 243, Reading RG6 6BB, Berks, England.</t>
  </si>
  <si>
    <t>Valdes, Paul/T-2004-2019; Valdes, Paul J/C-4129-2013; Lunt, Daniel/G-9451-2011</t>
  </si>
  <si>
    <t>Valdes, Paul/0000-0002-1902-3283; Lunt, Daniel/0000-0003-3585-6928</t>
  </si>
  <si>
    <t>10.1029/2002GL015656</t>
  </si>
  <si>
    <t>WOS:000180617000042</t>
  </si>
  <si>
    <t>Moore, JK; Abbott, MR</t>
  </si>
  <si>
    <t>Surface chlorophyll concentrations in relation to the Antarctic Polar Front: seasonal and spatial patterns from satellite observations</t>
  </si>
  <si>
    <t>JOURNAL OF MARINE SYSTEMS</t>
  </si>
  <si>
    <t>Meeting on Ocean Fronts held at the 2000 AGU Ocean Sciences Meeting</t>
  </si>
  <si>
    <t>JAN 24-28, 2000</t>
  </si>
  <si>
    <t>SAN ANTONIO, TX</t>
  </si>
  <si>
    <t>phytoplankton; southern ocean; mesoscale</t>
  </si>
  <si>
    <t>EQUATORIAL PACIFIC-OCEAN; AUSTRAL SPRING 1992; ZONE COLOR SCANNER; SOUTHERN-OCEAN; CIRCUMPOLAR CURRENT; PHYTOPLANKTON GROWTH; ATLANTIC SECTOR; SILICIC-ACID; MESOSCALE VARIABILITY; COMMUNITY COMPOSITION</t>
  </si>
  <si>
    <t>Satellite ocean color data from the Sea Viewing Wide Field of View Sensor (SeaWiFS) are used to investigate phytoplankton bloom dynamics at the Antarctic Polar Front (PF). Satellite sea surface temperature (SST) data are used to map the location of the PF at weekly timescales. Elevated chlorophyll within the PF often appears as a narrow band that occupies only a portion of the SST gradient across the PF. Phytoplankton blooms within the PF occur most frequently during the month of December and are unevenly distributed within the Southern Ocean. Elevated chlorophyll concentrations at the PF are most frequently observed where the current is interacting with large topographic features. Mesoscale physical processes, including meander-induced upwelling and increased eddy mixing, where the PF encounters large topographic features likely leads to increased nutrient flux to surface waters in these regions. The highest mean chlorophyll values associated with the PF occur where the front comes into contact with relatively shallow waters along the North Scotia Ridge and at Kerguelen Plateau. Iron input from sedimentary sources likely plays an important role in these regions. Over seasonal timescales it appears likely that light-limitation prevents phytoplankton blooms at the PF during winter and spring months. PF blooms are observed most commonly during December when surface radiation peaks and mixed layer depths are rapidly shoaling. Even during December, when the light regime would seem to be favorable, PF blooms are largely restricted to regions where enhanced nutrient fluxes to surface waters due to frontal dynamics are likely. During late summer, nutrient limitation due to depletion of iron and possibly silicate largely prevent blooms at the PF. In the fall, deepening mixed layers would provide some relief from nutrient limitation but likely lead again to light-limitation of growth rates and the prevention of blooms. (C) 2002 Elsevier Science B.V. All rights reserved.</t>
  </si>
  <si>
    <t>Natl Ctr Atmospher Res, NCAR, Boulder, CO 80307 USA; Oregon State Univ, Coll Ocean &amp; Atmospher Sci, Corvallis, OR 97331 USA</t>
  </si>
  <si>
    <t>National Center Atmospheric Research (NCAR) - USA; Oregon State University</t>
  </si>
  <si>
    <t>Moore, JK (corresponding author), Univ Calif Irvine, Irvine, CA 92697 USA.</t>
  </si>
  <si>
    <t>jkmoore@uci.edu</t>
  </si>
  <si>
    <t>Abbott, Mark R/J-8445-2016</t>
  </si>
  <si>
    <t>0924-7963</t>
  </si>
  <si>
    <t>J MARINE SYST</t>
  </si>
  <si>
    <t>J. Mar. Syst.</t>
  </si>
  <si>
    <t>PII S0924-7963(02)00196-3</t>
  </si>
  <si>
    <t>10.1016/S0924-7963(02)00196-3</t>
  </si>
  <si>
    <t>Geosciences, Multidisciplinary; Marine &amp; Freshwater Biology; Oceanography</t>
  </si>
  <si>
    <t>Geology; Marine &amp; Freshwater Biology; Oceanography</t>
  </si>
  <si>
    <t>617TW</t>
  </si>
  <si>
    <t>WOS:000179377800006</t>
  </si>
  <si>
    <t>Thorpe, SE; Heywood, KJ; Brandon, MA; Stevens, DP</t>
  </si>
  <si>
    <t>Variability of the southern Antarctic Circumpolar Current front north of South Georgia</t>
  </si>
  <si>
    <t>SAN ANTONIO, TEXAS</t>
  </si>
  <si>
    <t>front; temporal variability; hydrographic data; model; dynamics; krill; Southern Ocean; Scotia Sea [50-60 degrees S, 45-30 degrees W]</t>
  </si>
  <si>
    <t>KRILL EUPHAUSIA-SUPERBA; SUMMER 1994; SCOTIA SEA; OCEAN; TRANSPORT; CIRCULATION; ATLANTIC; ISLAND; WATER; RECRUITMENT</t>
  </si>
  <si>
    <t>South Georgia ( similar to 54degreesS, 37degreesW) is an island in the eastern Scotia Sea, South Atlantic that lies in the path of the Antarctic Circumpolar Current (ACC). The southern ACC front (SACCF), one of three major fronts associated with the ACC, wraps anticyclonically around South Georgia and then retroflects north of the island. This paper investigates temporal variability in the position of the SACCF north of South Georgia that is likely to have an effect on the South Georgia ecosystem by contributing to the variability in local krill abundance. A meridional hydrographic section that crossed the SACCF three times demonstrates that the SACCF is associated with a geopotential anomaly of 4.5 J kg(-1) in the eastern Scotia Sea. A high resolution (1/4degrees x 1/4degrees) map of historical geopotential anomaly shows the mean position of the SACCF retroflection north of South Georgia to be at 36degreesW, 400 km further east than in previous work. It also reveals temporal variability associated with the SACCF in the South Georgia region, A near-surface drifter provides evidence for variability in the western extent of the SACCF north of South Georgia and for the presence of eddies in the region. Output from a 3-year (1993-1995) high frequency wind forced run of the eddy-permitting Ocean Circulation and Climate Advanced Modelling project (OCCAM) model, used to investigate the frontal variability, shows two periods of anomalous westward extent of the SACCF north of South Georgia and associated eddy-shedding. The SACCF variability affects the near-surface transport of passive drifters into the region with implications for the South Georgia ecosystem., (C) 2002 Elsevier Science B.V. All rights reserved.</t>
  </si>
  <si>
    <t>British Antarctic Survey, Natl Environm Res Council, Cambridge CB3 0ET, England; Univ E Anglia, Sch Environm Sci, Norwich NR4 7TJ, Norfolk, England; Univ E Anglia, Sch Math, Norwich NR4 7TJ, Norfolk, England</t>
  </si>
  <si>
    <t>UK Research &amp; Innovation (UKRI); Natural Environment Research Council (NERC); NERC British Antarctic Survey; University of East Anglia; University of East Anglia</t>
  </si>
  <si>
    <t>Thorpe, SE (corresponding author), British Antarctic Survey, Natl Environm Res Council, High Cross,Madingley Rd, Cambridge CB3 0ET, England.</t>
  </si>
  <si>
    <t>Brandon, Mark A/A-5804-2010; Heywood, Karen/L-1757-2016; Stevens, David/F-2509-2010</t>
  </si>
  <si>
    <t>Heywood, Karen/0000-0001-9859-0026; Thorpe, Sally/0000-0002-5193-6955; Brandon, Mark/0000-0002-7779-0958; Stevens, David/0000-0002-7283-4405</t>
  </si>
  <si>
    <t>PII S0924-7963(02)00197-5</t>
  </si>
  <si>
    <t>10.1016/S0924-7963(02)00197-5</t>
  </si>
  <si>
    <t>WOS:000179377800007</t>
  </si>
  <si>
    <t>Ansorge, IJ; Lutjeharms, JRE</t>
  </si>
  <si>
    <t>The hydrography and dynamics of the ocean environment of the Prince Edward Islands (Southern Ocean)</t>
  </si>
  <si>
    <t>Prince Edward Islands; Subantarctic Front; Polar Front Zone; mesoscale disturbances; frontal displacement</t>
  </si>
  <si>
    <t>ANTARCTIC CIRCUMPOLAR CURRENT; POLAR FRONTAL ZONE; DRAKE PASSAGE; INDIAN-OCEAN; HAWAIIAN RIDGE; CIRCULATION; VARIABILITY; TRANSPORT; FLOW; ALTIMETRY</t>
  </si>
  <si>
    <t>The Prince Edward Islands lie in the Indian sector of the Southern Ocean at 47degreesS and 38degreesE. They lie in the path of the Antarctic Circumpolar Current (ACC), between the Subantarctic Front (SAF) to the north and the Antarctic Polar Front (APF) to the south. Two extensive hydrographic surveys (MOES 2 and MIOS 2) have been carried out to establish for the first time the mesoscale hydrography and dynamics of the oceanic surroundings of these islands. During the MOES 2, the SAF was deflected northward around the islands, while the APF lay south of the survey grid and south of the islands. Water masses in the region changed gradually from Subantarctic Surface Water (SASW) to Antarctic Surface Water (AASW) on crossing the Polar Frontal Zone (PFZ). Downstream of the islands, a wake, resulting in the generation of broad meanders, was formed. As a consequence, water masses, in particular warm SASW, were displaced from north of the SAF across the PFZ, while cooler waters, which have been modified in the transitional band of the PFZ, were displaced northwards. In contrast, during MIOS 2, the surface expression of the SAF formed an intensive frontal band. On approaching the islands, the SAF split into two branches, with a branch deflected northwards around the islands, while a second branch meandered southward. In the downstream region, an intense cold eddy consisting of AASW was observed within the PFZ, displacing the SAF northwards. South of this eddy, a warm patch of SASW water was encountered, its position possibly controlled by the meandering SAF. Evidence from both these surveys demonstrates that the ACC exhibits high degrees of mesoscale variability in the vicinity of the Prince Edward Islands. The displacement of the SAF in both instances was apparent, resulting in the advection or the entrapment of neighbouring water masses into and across the PFZ. The speed of the incident current on approaching the islands may play a role in the degree of mesoscale mixing downstream of the islands. (C) 2002 Elsevier Science B.V. All rights reserved.</t>
  </si>
  <si>
    <t>Univ Cape Town, Dept Oceanog, ZA-7700 Rondebosch, South Africa</t>
  </si>
  <si>
    <t>University of Cape Town</t>
  </si>
  <si>
    <t>Ansorge, IJ (corresponding author), Univ Cape Town, Dept Oceanog, ZA-7700 Rondebosch, South Africa.</t>
  </si>
  <si>
    <t>ansorge@physci.uct.ac.za</t>
  </si>
  <si>
    <t>ANSORGE, ISABELLE/AAY-7396-2020</t>
  </si>
  <si>
    <t>Ansorge, Isabelle/0000-0001-7071-8147</t>
  </si>
  <si>
    <t>PII S0924-7963(02)00198-7</t>
  </si>
  <si>
    <t>10.1016/S0924-7963(02)00198-7</t>
  </si>
  <si>
    <t>WOS:000179377800008</t>
  </si>
  <si>
    <t>Sokolov, S; Rintoul, SR</t>
  </si>
  <si>
    <t>Structure of Southern Ocean fronts at 140°E</t>
  </si>
  <si>
    <t>Subantarctic Front; Polar Front; Antarctic Circumpolar Current; Southern Ocean; satellite altimetry; Australian sector (130-160 degrees E)</t>
  </si>
  <si>
    <t>ANTARCTIC CIRCUMPOLAR CURRENT; SEASONAL EVOLUTION; CIRCULATION; TASMANIA; ZONATION; EXTENT; WATER; IRON</t>
  </si>
  <si>
    <t>The major fronts between Tasmania and Antarctica are described on the basis of repeat hydrographic and expendable bathythermograph (XBT) sections and satellite altimetry. The high spatial and temporal resolution allows the location, structure and variability of the fronts to be investigated in detail. A large number of criteria are examined in an effort to identify reliable indicators of the fronts (e.g. lateral gradients along isobars and isopycnals, transport maxima, and the latitude where a property isoline crosses a particular isobar). The location of the Subtropical Front (STF) varies by less than 1degrees from its mean latitude of 45.2degreesS between the Tasmanian continental slope and the South Tasman Rise. The high resolution sections resolve multiple branches or filaments of each of the main fronts of the Antarctic Circumpolar Current (ACC) south of Australia: the Subantarctic Front (SAF) has two cores at mean latitudes of 50.5degrees and 52degreesS, the Polar Front (PF) has two branches which are found between 53degrees and 54degreesS and between 59degrees and 60degreesS, and the southern ACC front crosses the section near 62degreesS and 64degreesS. The southern boundary of the ACC sometimes merges with the southern ACC front (SACCF). The Antarctic Slope Front is found over the upper continental slope on those sections, which extend sufficiently close to Antarctica. Each of the frontal filaments identified on the repeat sections corresponds to a narrow range of sea surface height (SSH) values. These SSH streamlines are also found to correspond to large lateral gradients of SSH (i.e. fronts) east and west of the repeat section. Maps of sea surface height are then used to determine the path and variability of the fronts. The maps confirm the multi-filament structure of the fronts and show that streamlines merge and split along the path of the fronts. Each of the ACC fronts extends throughout the water column; as a result, the path of the fronts and the width of their meander envelopes are strongly influenced by bathymetry. Meridional displacements of the fronts are correlated with variations in SST, suggesting shifts of the fronts contribute to SST variability observed on interannual time scales. (C) 2002 Elsevier Science B.V. All rights reserved.</t>
  </si>
  <si>
    <t>CSIRO, Marine Res &amp; Antarctic CRC, Hobart, Tas, Australia</t>
  </si>
  <si>
    <t>CSIRO, Marine Res &amp; Antarctic CRC, GPO Box 1538, Hobart, Tas, Australia.</t>
  </si>
  <si>
    <t>serguei.sokolov@marine.csiro.au; steve.rintoul@marine.csiro.au</t>
  </si>
  <si>
    <t>Rintoul, Stephen R/A-1471-2012; Sokolov, Serguei/A-4882-2008</t>
  </si>
  <si>
    <t>Rintoul, Stephen R/0000-0002-7055-9876;</t>
  </si>
  <si>
    <t>1879-1573</t>
  </si>
  <si>
    <t>PII S0924-7963(02)00200-2</t>
  </si>
  <si>
    <t>10.1016/S0924-7963(02)00200-2</t>
  </si>
  <si>
    <t>WOS:000179377800010</t>
  </si>
  <si>
    <t>Watkins, NW; Chapman, SC; Rowlands, G</t>
  </si>
  <si>
    <t>Comment on Universal fluctuations in correlated systems</t>
  </si>
  <si>
    <t>PHYSICAL REVIEW LETTERS</t>
  </si>
  <si>
    <t>British Antarctic Survey, Cambridge CB3 0ET, England; Univ Warwick, Coventry CV4 7AL, W Midlands, England</t>
  </si>
  <si>
    <t>UK Research &amp; Innovation (UKRI); Natural Environment Research Council (NERC); NERC British Antarctic Survey; University of Warwick</t>
  </si>
  <si>
    <t>Watkins, NW (corresponding author), British Antarctic Survey, Cambridge CB3 0ET, England.</t>
  </si>
  <si>
    <t>Chapman, Sandra/C-2216-2008; Watkins, Nicholas Wynn/C-5140-2008; Watkins, Nick/GPX-7439-2022; Holdsworth, Peter/F-2121-2015; Nicodemi, Mario/K-1815-2015</t>
  </si>
  <si>
    <t>Chapman, Sandra/0000-0003-0053-1584; Watkins, Nicholas Wynn/0000-0003-4484-6588; Watkins, Nick/0000-0003-4484-6588; Holdsworth, Peter/0000-0003-4062-5067; Lise, Stefano/0000-0003-4472-6893; Nicodemi, Mario/0000-0002-8416-6416; Fortin, Jean-Yves/0000-0002-3527-869X</t>
  </si>
  <si>
    <t>AMERICAN PHYSICAL SOC</t>
  </si>
  <si>
    <t>0031-9007</t>
  </si>
  <si>
    <t>PHYS REV LETT</t>
  </si>
  <si>
    <t>Phys. Rev. Lett.</t>
  </si>
  <si>
    <t>NOV 11</t>
  </si>
  <si>
    <t>10.1103/PhysRevLett.89.208901</t>
  </si>
  <si>
    <t>610AL</t>
  </si>
  <si>
    <t>WOS:000178938500057</t>
  </si>
  <si>
    <t>Jones, N</t>
  </si>
  <si>
    <t>Salt wrecks Scott and Shackleton's antarctic legacy</t>
  </si>
  <si>
    <t>NOV 9</t>
  </si>
  <si>
    <t>615YM</t>
  </si>
  <si>
    <t>WOS:000179275000009</t>
  </si>
  <si>
    <t>Mark, FC; Bock, C; Pörtner, HO</t>
  </si>
  <si>
    <t>Oxygen-limited thermal tolerance in Antarctic fish investigated by MRI and 31P-MRS</t>
  </si>
  <si>
    <t>AMERICAN JOURNAL OF PHYSIOLOGY-REGULATORY INTEGRATIVE AND COMPARATIVE PHYSIOLOGY</t>
  </si>
  <si>
    <t>aerobic scope; heat stress; thermal tolerance limits; magnetic resonance imaging; magnetic resonance spectroscopy</t>
  </si>
  <si>
    <t>TEMPERATURE-DEPENDENT BIOGEOGRAPHY; ACID-BASE REGULATION; MITOCHONDRIAL-FUNCTION; PHYSIOLOGICAL-BASIS; INTRACELLULAR PH; MARINE FISH; BLOOD; HYPEROXIA; HYPOXIA; BRAIN</t>
  </si>
  <si>
    <t>The hypothesis of an oxygen-limited thermal tolerance was tested in the Antarctic teleost Pachycara brachycephalum. With the use of flow-through respirometry, in vivo P-31-NMR spectroscopy, and MRI, we studied energy metabolism, intracellular pH (pH(i)), blood flow, and oxygenation between 0 and 13degreesC under normoxia (PO2: 20.3 to 21.3 kPa) and hyperoxia (PO2: 45 kPa). Hyperoxia reduced the metabolic increment and the rise in arterial blood flow observed under normoxia. The normoxic increase of blood flow leveled off beyond 7degreesC, indicating a cardiovascular capacity limitation. Ventilatory effort displayed an exponential rise in both groups. In the liver, blood oxygenation increased, whereas in white muscle it remained unaltered (normoxia) or declined (hyperoxia). In both groups, the slope of pH(i) changes followed the alpha-stat pattern below 6degreesC, whereas it decreased above. In conclusion, aerobic scope declines around 6degreesC under normoxia, marking the pejus temperature. By reducing circulatory costs, hyperoxia improves aerobic scope but is unable to shift the breakpoint in pH regulation or lethal limits. Hyperoxia appears beneficial at sublethal temperatures, but no longer beyond when cellular or molecular functions become disturbed.</t>
  </si>
  <si>
    <t>Alfred Wegener Inst Polar &amp; Meeresforsch Okophysi, D-27515 Bremerhaven, Germany</t>
  </si>
  <si>
    <t>hpoertner@awi-bremerhaven.de</t>
  </si>
  <si>
    <t>Mark, Felix Christopher/P-4759-2016; Bock, Christian/B-4421-2017; Pörtner, Hans-O./K-9429-2016; Pörtner, Hans-O./ISU-9397-2023</t>
  </si>
  <si>
    <t>Mark, Felix Christopher/0000-0002-5586-6704; Bock, Christian/0000-0003-0052-3090; Pörtner, Hans-O./0000-0001-6535-6575;</t>
  </si>
  <si>
    <t>AMER PHYSIOLOGICAL SOC</t>
  </si>
  <si>
    <t>9650 ROCKVILLE PIKE, BETHESDA, MD 20814 USA</t>
  </si>
  <si>
    <t>0363-6119</t>
  </si>
  <si>
    <t>1522-1490</t>
  </si>
  <si>
    <t>AM J PHYSIOL-REG I</t>
  </si>
  <si>
    <t>Am. J. Physiol.-Regul. Integr. Comp. Physiol.</t>
  </si>
  <si>
    <t>NOV</t>
  </si>
  <si>
    <t>R1254</t>
  </si>
  <si>
    <t>R1262</t>
  </si>
  <si>
    <t>10.1152/ajpregu.00167.2002</t>
  </si>
  <si>
    <t>Physiology</t>
  </si>
  <si>
    <t>604HP</t>
  </si>
  <si>
    <t>WOS:000178613500031</t>
  </si>
  <si>
    <t>Villain, JP; André, R; Pinnock, M; Greenwald, RA; Hanuise, C</t>
  </si>
  <si>
    <t>A Statistical study of the Doppler spectral width of high-latitude ionospheric F-region echoes recorded with SuperDARN coherent HF radars</t>
  </si>
  <si>
    <t>ionosphere; auroral ionosphere; ionosphere-magnetosphere interactions; ionospheric irregularities</t>
  </si>
  <si>
    <t>SMALL-SCALE IRREGULARITIES; BOUNDARY-LAYER CAMPAIGN; ELECTRIC-FIELD; PARTICLE-PRECIPITATION; CUSP; SCATTERING; CONVECTION; IDENTIFICATION; CONJUGATE; DYNAMICS</t>
  </si>
  <si>
    <t>The HF radars of the Super Dual Auroral Radar Network (SuperDARN) provide measurements of the E x B drift of ionospheric plasma over extended regions of the high-latitude ionosphere. We have conducted a statistical study of the associated Doppler spectral width of ionospheric F-region echoes. The study has been conducted with all available radars from the Northern Hemisphere for 2 specific periods of time. Period I corresponds to the winter months of 1994, while period 2 covers October 1996 to March 1997. ne distributions of data points and average spectral width are presented as a function of Magnetic Latitude and Magnetic Local Time. The databases are very consistent and exhibit the same features. The most stringent features are: a region of very high spectral width, collocated with the ionospheric LLBL/cusp/mantle region; an oval shaped region of high spectral width, whose equatorward boundary matches the poleward limit of the Holzworth and Meng auroral oval. A simulation has been conducted to evaluate the geometrical and instrumental effects on the spectral width. It shows that these effects cannot account for the observed spectral features. It is then concluded that these specific spectral width characteristics are the signature of ionospheric/magnetospheric coupling phenomena.</t>
  </si>
  <si>
    <t>CNRS, LPCE, F-45071 Orleans, France; British Antarctic Survey, Cambridge CB3 0ET, England; Johns Hopkins Univ, Appl Phys Lab, Laurel, MD USA; Univ Toulon &amp; Var, LSEET, CNRS, F-83957 La Garde, France</t>
  </si>
  <si>
    <t>Centre National de la Recherche Scientifique (CNRS); UK Research &amp; Innovation (UKRI); Natural Environment Research Council (NERC); NERC British Antarctic Survey; Johns Hopkins University; Johns Hopkins University Applied Physics Laboratory; Centre National de la Recherche Scientifique (CNRS); Universite de Toulon</t>
  </si>
  <si>
    <t>Villain, JP (corresponding author), CNRS, LPCE, 3A Av Rech Sci, F-45071 Orleans, France.</t>
  </si>
  <si>
    <t>Greenwald, Raymond/0000-0002-7421-5536</t>
  </si>
  <si>
    <t>10.5194/angeo-20-1769-2002</t>
  </si>
  <si>
    <t>633UN</t>
  </si>
  <si>
    <t>gold, Green Submitted, Green Accepted</t>
  </si>
  <si>
    <t>WOS:000180301300008</t>
  </si>
  <si>
    <t>André, R; Pinnock, M; Villain, JP; Hanuise, C</t>
  </si>
  <si>
    <t>Influence of magnetospheric processes on winter HF radar spectra characteristics</t>
  </si>
  <si>
    <t>ionosphere; auroral ionosphere; ionosphere-magnetosphere interactions; plasma convection</t>
  </si>
  <si>
    <t>COLLECTIVE WAVE SCATTERING; SMALL-SCALE IRREGULARITIES; BOUNDARY-LAYER CAMPAIGN; LATITUDE F-REGION; ELECTRIC-FIELD; IONOSPHERIC CUSP; SUPERDARN; PLASMA; DISTRIBUTIONS; CONJUGATE</t>
  </si>
  <si>
    <t>This study investigates further the relationship between regions of the magnetosphere and the characteristics of HF radar Doppler spectra recorded in the ionospheric projection of those regions. It builds on earlier work, which has reported a relationship between the Doppler spectral width and the ionospheric projection of the magnetospheric cusp region, by introducing novel techniques for classifying the Doppler spectra recorded by the SuperDARN radars. We first review the geophysical factors that can condition the characteristics of the autocorrelation function (ACF) data produced by the radars. This leads to a classification scheme of the ACF data which is then applied to a large database compiled from winter data taken by the Northern Hemisphere SuperDARN radars. This statistical study shows that the ACF characteristics are not randomly distributed in space, but rather are spatially organized in the ionosphere. This paper suggests that these regions are ordered primarily by the low energy (approximate to 1 keV) electron precipitation region and the presence of intense ULF wave activity.</t>
  </si>
  <si>
    <t>Univ Toulon &amp; Var, LSEET, CNRS, F-83957 La Garde, France; CNRS, LPCE, F-45071 Orleans, France; British Antarctic Survey, Cambridge CB3 0ET, England</t>
  </si>
  <si>
    <t>Centre National de la Recherche Scientifique (CNRS); Universite de Toulon; Centre National de la Recherche Scientifique (CNRS); UK Research &amp; Innovation (UKRI); Natural Environment Research Council (NERC); NERC British Antarctic Survey</t>
  </si>
  <si>
    <t>Hanuise, C (corresponding author), Univ Toulon &amp; Var, LSEET, CNRS, BP 132, F-83957 La Garde, France.</t>
  </si>
  <si>
    <t>10.5194/angeo-20-1783-2002</t>
  </si>
  <si>
    <t>Green Submitted, Green Accepted, gold</t>
  </si>
  <si>
    <t>WOS:000180301300009</t>
  </si>
  <si>
    <t>Nemtsev, SV; Gamzazade, AI; Rogozhin, SV; Bykova, VM; Bykov, VP</t>
  </si>
  <si>
    <t>Deacetylation of chitin under homogeneous conditions</t>
  </si>
  <si>
    <t>APPLIED BIOCHEMISTRY AND MICROBIOLOGY</t>
  </si>
  <si>
    <t>Chitin isolated enzymatically from Antarctic krill shells was dissolved in aqueous NaOH by freezing and thawing to create homogeneous conditions. Deacetylation was performed at room temperature or under heating. The degree of deacetylation, molecular weight, and dynamic viscosity of solutions were estimated in chitosan samples. Deacetylation of chitin under homogeneous conditions was optimized. Chitosans with molecular weights of 180-220 and 250-300 kDa were obtained from the chitins of Antarctic krill and northern shrimp, respectively.</t>
  </si>
  <si>
    <t>Russian Acad Sci, Bioinzheneriya Ctr, Moscow 117312, Russia; Russian Acad Sci, AN Nesmeyanov Organoelement Cpds Inst, Moscow 117813, Russia; All Russia Res Inst Marine Fisheries &amp; Oceanog, Moscow 107140, Russia</t>
  </si>
  <si>
    <t>Russian Academy of Sciences; Research Center of Biotechnology RAS; Russian Academy of Sciences; Nesmeyanov Institute of Organoelement Compounds; Research lnstitute of Fisheries &amp; Oceanography</t>
  </si>
  <si>
    <t>Bykov, Vladimir/K-9452-2018</t>
  </si>
  <si>
    <t>Bykov, Vladimir/0000-0001-7228-1460</t>
  </si>
  <si>
    <t>MAIK NAUKA/INTERPERIODICA</t>
  </si>
  <si>
    <t>C/O KLUWER ACADEMIC-PLENUM PUBLISHERS, 233 SPRING ST, NEW YORK, NY 10013-1578 USA</t>
  </si>
  <si>
    <t>0003-6838</t>
  </si>
  <si>
    <t>APPL BIOCHEM MICRO+</t>
  </si>
  <si>
    <t>Appl. Biochem. Microbiol.</t>
  </si>
  <si>
    <t>NOV-DEC</t>
  </si>
  <si>
    <t>10.1023/A:1020766325395</t>
  </si>
  <si>
    <t>617FJ</t>
  </si>
  <si>
    <t>WOS:000179350800003</t>
  </si>
  <si>
    <t>Parsons, DJ</t>
  </si>
  <si>
    <t>Understanding and managing impacts of recreation use in mountain environments</t>
  </si>
  <si>
    <t>ARCTIC ANTARCTIC AND ALPINE RESEARCH</t>
  </si>
  <si>
    <t>INST ARCTIC ALPINE RES</t>
  </si>
  <si>
    <t>BOULDER</t>
  </si>
  <si>
    <t>UNIV COLORADO, BOULDER, CO 80309 USA</t>
  </si>
  <si>
    <t>1523-0430</t>
  </si>
  <si>
    <t>ARCT ANTARCT ALP RES</t>
  </si>
  <si>
    <t>Arct. Antarct. Alp. Res.</t>
  </si>
  <si>
    <t>10.1080/15230430.2002.12003506</t>
  </si>
  <si>
    <t>Environmental Sciences; Geography, Physical</t>
  </si>
  <si>
    <t>682MT</t>
  </si>
  <si>
    <t>WOS:000183096400001</t>
  </si>
  <si>
    <t>Cole, DN; Monz, CA</t>
  </si>
  <si>
    <t>Trampling disturbance of high-elevation vegetation, Wind River Mountains, Wyoming, USA</t>
  </si>
  <si>
    <t>Trampling experiments were conducted in five high-elevation plant communities in the Wind River Mountains. In one experiment (simulating infrequent acute disturbance), plots were trampled once and recovery was followed for 3 yr. In another experiment (simulating chronic disturbance), plots were trampled for three successive years and recovery was followed for one year. Yearly trampling intensities were 0 to 500 passes (up to 800 and 1000 in two communities). Structural responses (reductions in cover and height) were more pronounced than compositional responses. Low levels of trampling caused substantial reductions in cover and height, but rates of change decreased as trampling intensity increased. The ability of different plant communities to tolerate trampling disturbance varied by at least an order of magnitude, suggesting that impacts can be reduced by directing use to more tolerant plant communities. Moreover, tolerance can be gauged on the basis of readily observable plant characteristics. Plant communities with groundcover dominated by chamaephytes (primarily low, woody shrubs) or by erect, caulescent forbs were less resistant than those with groundcovers dominated by turf-forming or caespitose graminoids, or by forbs with matted, caespitose or rosette growth forms. Plant communities with woody, chamaephytic groundcover were less resilient than other plant communities.</t>
  </si>
  <si>
    <t>US Forest Serv, Aldo Leopold Wilderness Res Inst, Rocky Mt Res Stn, USDA, Missoula, MT 59807 USA; Sterling Coll, Craftsbury Commons, VT 05827 USA</t>
  </si>
  <si>
    <t>United States Department of Agriculture (USDA); United States Forest Service</t>
  </si>
  <si>
    <t>Cole, DN (corresponding author), US Forest Serv, Aldo Leopold Wilderness Res Inst, Rocky Mt Res Stn, USDA, POB 8089, Missoula, MT 59807 USA.</t>
  </si>
  <si>
    <t>10.2307/1552194</t>
  </si>
  <si>
    <t>WOS:000183096400002</t>
  </si>
  <si>
    <t>Klug, B; Scharfetter-Lehrl, G; Scharfetter, E</t>
  </si>
  <si>
    <t>Effects of trampling on vegetation above the timberline in the Eastern Alps, Austria</t>
  </si>
  <si>
    <t>SEED BANKS; DISTURBANCE; MOUNTAINS; RAIN</t>
  </si>
  <si>
    <t>The effects of trampling on alpine pasture vegetation were analyzed in four regions of the Austrian Alps: one in the Radstadter Tauern mountains (Central Alps) and one on the Rax plateau near Vienna, on predominantly calcareous substrates, and two in the Central Alps on siliceous substrates. Species composition, vertical and horizontal structure, and biomass were investigated, as well as diaspore communities of heavily disturbed vegetation (on trails) and adjacent undisturbed (natural and seminatural) vegetation. Results show that species resistant to trampling (e.g., Poa supina) are more frequent in disturbed than in seminatural vegetation, and that they reproduce under trampling pressure and can store more than 20,000 germinable seeds/m(2) in the uppermost 5 cm of soil. Some species (e.g., Deschampsia cespitosa) show hardly any negative effects on abundance and/or diaspore bank, whereas aboveground biomass and vegetative growth of the single ramet can be reduced by trampling. Because of the presence of species like Poa supina, some trails store a larger diaspore community than the adjacent vegetation. However, most of the species investigated, including some endemic or threatened species of the Eastern Alps, are neither able to germinate nor to establish themselves on trampled sites. There is no evidence that they develop a sufficiently persistent and evenly distributed diaspore bank for a possible regeneration in the future.</t>
  </si>
  <si>
    <t>Univ Bodenkultur Wien, Inst Bot, A-1180 Vienna, Austria</t>
  </si>
  <si>
    <t>BOKU University</t>
  </si>
  <si>
    <t>Univ Bodenkultur Wien, Inst Bot, Gregor Mendel Str 33, A-1180 Vienna, Austria.</t>
  </si>
  <si>
    <t>briklug@edv1.boku.ac.at</t>
  </si>
  <si>
    <t>1938-4246</t>
  </si>
  <si>
    <t>10.2307/1552195</t>
  </si>
  <si>
    <t>WOS:000183096400003</t>
  </si>
  <si>
    <t>Ebersole, JJ</t>
  </si>
  <si>
    <t>Recovery of alpine vegetation on small, denuded plots, Niwot Ridge, Colorado, USA</t>
  </si>
  <si>
    <t>SEEDLING ESTABLISHMENT; DISTURBANCE TYPE; SOIL-MOISTURE; LONG-TERM; TUNDRA; COMMUNITY; DYNAMICS; RESTORATION; SWITZERLAND; ECOSYSTEMS</t>
  </si>
  <si>
    <t>Small plots (0.25 to 1.0 m(2)) denuded 13 and 31 yr previously were studied to investigate vegetation recovery at the alpine site of the Long-Term Ecological Research network. Recovery was slow, probably due to poor seedling survival. Covers of vascular plants and lichens were much lower on denuded plots than on controls except in late-melting snowbanks where natural disturbance by pocket gophers may have selected for disturbance-adapted species. Moister communities generally regained cover faster than drier communities. Vegetative expansion from plot edges provided most cover, although some colonizers originated from seed. Kobresia myosuroides, previously unknown to reproduce sexually in the Southern Rocky Mountains, occasionally colonized by seed. Essentially all vascular species acted as both colonizers and components of mature vegetation, and the vast majority of species are present in similar relative frequencies in control and disturbed plots. Previously studied alpine sites show either a similar lack of differentiation of early- and late-successional species or higher relative abundance of grasses in disturbed sites. In contrast to vegetation recovery in most temperate ecosystems, in these small plots on Niwot Ridge sequential replacement of species after disturbance does not occur.</t>
  </si>
  <si>
    <t>Colorado Coll, Dept Biol, Colorado Springs, CO 80903 USA</t>
  </si>
  <si>
    <t>Colorado College</t>
  </si>
  <si>
    <t>Ebersole, JJ (corresponding author), Colorado Coll, Dept Biol, Colorado Springs, CO 80903 USA.</t>
  </si>
  <si>
    <t>10.2307/1552196</t>
  </si>
  <si>
    <t>WOS:000183096400004</t>
  </si>
  <si>
    <t>Kammer, PM; Möhl, A</t>
  </si>
  <si>
    <t>Factors controlling species richness in alpine plant communities:: An assessment of the importance of stress and disturbance</t>
  </si>
  <si>
    <t>INTERMEDIATE DISTURBANCE; NUTRIENT AVAILABILITY; WATER RELATIONS; GROWING-SEASON; DIVERSITY; BIOMASS; HYPOTHESIS; VEGETATION; GRASSLAND; BIODIVERSITY</t>
  </si>
  <si>
    <t>This study explores whether the high variability of vascular plant diversity among alpine plant communities can be explained by stress and/or disturbance intensities. Species numbers of 14 alpine plant communities were sampled in the Swiss Alps. To quantify the intensity of 13 stress and 6 disturbance factors potentially controlling plant life in these communities, a survey was conducted by asking numerous specialists in alpine vegetation to assess the importance of the different factors for each community. The estimated values were combined in stress- and disturbance-indices which were compared with diversity according to the Intermediate Stress Hypothesis, the Intermediate Disturbance Hypothesis, and the Dynamic Equilibrium Model, respectively. Each of these theories explained a part of the variability in the species richness, but only the Dynamic Equilibrium Model provided a complete and consistent explanation. The last model suggests that community species richness within the alpine life zone is generally controlled by stress intensity. Disturbance and competition seem to play a secondary role by fine-tuning diversity in specific communities. As diversity is primarily limited by stress, a moderation of temperature-related stress factors, as a result of global warming, may cause a shift of the equilibrium between stress, disturbance, and competition in alpine ecosystems.</t>
  </si>
  <si>
    <t>Univ Bern, Inst Plant Sci, CH-3013 Bern, Switzerland</t>
  </si>
  <si>
    <t>University of Bern</t>
  </si>
  <si>
    <t>Univ Bern, BES Biol, Gertrud Wokerstr 5, CH-3012 Bern, Switzerland.</t>
  </si>
  <si>
    <t>kammerpe@sis.unibe.ch</t>
  </si>
  <si>
    <t>10.2307/1552197</t>
  </si>
  <si>
    <t>WOS:000183096400005</t>
  </si>
  <si>
    <t>Alsos, IG; Engelskjon, T; Brochmann, C</t>
  </si>
  <si>
    <t>Conservation genetics and population history of Betula nana, Vaccinium uliginosum, and Campanula rotundifolia in the Arctic Archipelago of Svalbard</t>
  </si>
  <si>
    <t>MARGINAL POPULATIONS; GENOTYPIC DIVERSITY; RAPD PHYLOGEOGRAPHY; DIPLOID BLUEBERRY; GLACIAL SURVIVAL; POLLINATION; PATTERNS; ALPINE; DIFFERENTIATION; MORPHOLOGY</t>
  </si>
  <si>
    <t>Plant species defined as strongly thermophilous in Svalbard are rare and may be threatened by extinction due to suppressed sexual reproduction, small population sizes, genetic depauperation, and human activity. We examined isozyme diversity in three of these species-Betula nana, Vaccinium uliginosum, and Campanula rotundifolia-in Svalbard. Twenty-five to 60 ramets from each of two to three (sub)populations of each species were analyzed for eight enzyme systems. In B. nana, genetic diversity was low within sampling plots (D:0.00-0.49) and intermediate within populations (mean D=0. 70, mean H-ep=0.119). Genetic diversity at the species level (H-es) was 0.141, and the differentiation among populations (F-ST=0.193) was higher than the average for other species with similar life traits. In V. uliginosum, no variation was observed within plots, and genetic diversity within populations was low (mean D=0.29, mean H-ep=0.082). Genetic diversity at the species level was also low (H-es=0.152), and the differentiation among populations (F-ST=0.493) was much higher than in most other species studied. The only Svalbard population of C. rotundifolia has 2n=34 and is traditionally considered as diploid, but the observed enzyme banding patterns suggest polyploidy. In this species, genotypic diversity was low within plots (D: 0.00-0.33), intermediate within subpopulations (mean D=0.74), and all multilocus phenotypes were local. The present populations of all three species in Svalbard are probably fragmented relics of larger populations in the postglacial warm period. On the basis of the observed distribution of genetic diversity and population sizes, we propose to conserve all Svalbard populations of V. uliginosum and C. rotundifolia, and at least one population of B. nana.</t>
  </si>
  <si>
    <t>Tromso Univ Museum, N-9037 Tromso, Norway; Univ Oslo, Nat Hist Museum, N-0318 Oslo, Norway; Univ Oslo, Bot Garden, N-0318 Oslo, Norway</t>
  </si>
  <si>
    <t>UiT The Arctic University of Tromso; University of Oslo; University of Oslo</t>
  </si>
  <si>
    <t>Tromso Univ Museum, N-9037 Tromso, Norway.</t>
  </si>
  <si>
    <t>ingera@imv.uit.no</t>
  </si>
  <si>
    <t>Alsos, Inger Greve/A-9507-2016; Alsos, Inger Greve/O-8154-2019; Brochmann, Christian/A-4105-2009</t>
  </si>
  <si>
    <t>Alsos, Inger Greve/0000-0002-8610-1085;</t>
  </si>
  <si>
    <t>10.2307/1552198</t>
  </si>
  <si>
    <t>WOS:000183096400006</t>
  </si>
  <si>
    <t>Greipsson, S; El-Mayas, H; Vestberg, M; Walker, C</t>
  </si>
  <si>
    <t>Arbuscular mycorrhizal fungi in sandy soils in Iceland</t>
  </si>
  <si>
    <t>GULF-OF-MEXICO; VA-MYCORRHIZAE; SEASONAL-VARIATIONS; TAXONOMIC CONCEPTS; LEYMUS-ARENARIUS; POLISH GLOMALES; DUNE ECOSYSTEM; PLANTS; ENDOGONACEAE; COLONIZATION</t>
  </si>
  <si>
    <t>Arbuscular mycorrhizal fungi (AMF) were extracted from samples of eight different sites of sandy soils in Iceland. Eleven species of AMF were identified directly from original soil samples or trap culture using the host plant Allium porrum. Six AMF species were successfully subcultured in pots with the host plant Plantago lanceolata. Species from four genera of the order Glomerales (Acaulospora, Entrophospora, Glomus, and Scutellospora) were identified. The AMF species identified from subcultured pots included Glomus hoi, G. clarum, and a species of Scutellospora resembling S. dipurpurascens. Three other, as yet unidentified, species of Glomus were also isolated. AMF root colonization was estimated on Leymus arenarius (lymegrass), the main dune-building grass in Iceland during the growing season. Total AMF root colonization did not depend upon the season. However, percentage root colonization of arbuscules was significantly highest in July, indicating the highest peak of functional AMF activity. This survey of AMF is the first conducted in Iceland. The importance of this work is discussed in relation to occurrence of AMF species in polar regions and in relation to sand dune reclamation.</t>
  </si>
  <si>
    <t>Troy State Univ, Dept Biol &amp; Environm Sci, Troy, AL 36082 USA; Agrifood Res Finland, Laukaa Res &amp; Elite Plant Stn, FIN-41330 Vihtavuori, Finland; Biol Res &amp; Imaging Lab, New Milton BH25 7TB, Hants, England</t>
  </si>
  <si>
    <t>Troy University System; Troy University; Natural Resources Institute Finland (Luke)</t>
  </si>
  <si>
    <t>Troy State Univ, Dept Biol &amp; Environm Sci, Troy, AL 36082 USA.</t>
  </si>
  <si>
    <t>greipsso@trojan.troyst.edu</t>
  </si>
  <si>
    <t>10.2307/1552199</t>
  </si>
  <si>
    <t>WOS:000183096400007</t>
  </si>
  <si>
    <t>Pehkonen, T; Ranta, H; Tolvanen, A; Laine, K</t>
  </si>
  <si>
    <t>The frequency of the fungal pathogen Exobasidium splendidum in two natural stands of the host Vaccinium vitis-idaea in the subarctic timberline area</t>
  </si>
  <si>
    <t>RUST PUCCINIA-MINUSSENSIS; ARCTIC DWARF SHRUBS; LACTUCA-SIBIRICA; DISEASE TRANSMISSION; PLANT-POPULATIONS; USTILAGO-VIOLACEA; GROWTH; TEMPERATURE; INFECTION; REPRODUCTION</t>
  </si>
  <si>
    <t>We examined the host-pathogen system of an evergreen dwarf shrub Vaccinium vitis-idaea and its fungal pathogen Exobasidium splendidum in two habitats, a cleared forest (disturbed habitat), and an untouched forest (undisturbed habitat). Our aims were to find out how environmental factors, plant community characters, and the characters of V. vitis-idaea vary among the two habitats and whether these characters correlate with the frequency of E. splendidum. Our results suggest that environmental factors in the disturbed habitat are more favorable for the disease through increased growth of the host V. vitis-idaea and possibly by increased growth and reproduction of the pathogen. The high emergence rate of new V vitis-idaea ramets in the disturbed habitat resulted in a younger ramet age structure as compared with the undisturbed habitat. Consequently, the ratio of growing to nongrowing ramets was higher in the disturbed habitat. We consider growth to be a prerequisite for V. vitis-idaea becoming infected. Thus, a low amount of growing ramets may be seen as a characteristic of undisturbed V. vitis-idaea stands, which buffers the plant against E. splendidum. On the other hand, shoot and ramet death caused by E. splendidum may induce compensatory growth in V. vitis-idaea, thus supporting the survival of the fungus.</t>
  </si>
  <si>
    <t>Univ Oulu, Dept Biol, F-90014 Oulu, Finland; Univ Turku, Dept Biol, Turku 20014, Finland</t>
  </si>
  <si>
    <t>University of Oulu; University of Turku</t>
  </si>
  <si>
    <t>Pehkonen, T (corresponding author), Univ Oulu, Dept Biol, POB 3000, F-90014 Oulu, Finland.</t>
  </si>
  <si>
    <t>Tolvanen, Anne/I-5873-2015; Tolvanen, Anne/AAY-3765-2020; Tolvanen, Anne/AAP-8246-2020</t>
  </si>
  <si>
    <t>Tolvanen, Anne/0000-0002-5304-7510;</t>
  </si>
  <si>
    <t>10.2307/1552200</t>
  </si>
  <si>
    <t>WOS:000183096400008</t>
  </si>
  <si>
    <t>Weih, M; Karlsson, PS</t>
  </si>
  <si>
    <t>Low winter soil temperature affects summertime nutrient uptake capacity and growth rate of mountain birch seedlings in the subarctic, Swedish lapland</t>
  </si>
  <si>
    <t>NORTHERN HARDWOOD FOREST; NITROGEN ECONOMY; DISTRIBUTION LIMIT; DYNAMICS; HARDINESS; SURVIVAL</t>
  </si>
  <si>
    <t>Effects of different winter soil temperature on summertime growth rate of individual seedlings of mountain birch (Betula pubescens ssp. czerepanovii) were evaluated in an outdoor pot experiment in subarctic Sweden. The hypothesis tested was that low winter soil temperature could decrease growing-season nutrient uptake capacity and growth rate by injury of the root system; further, the root damage should stimulate growth of replacement roots, which should be reflected by increased summertime biomass allocation to roots. Mountain birch seedlings were exposed to two soil temperatures during wintertime by manipulation of snow depth that accumulated on top of the pots. Minimum soil temperature (hourly recordings) during winter was -1.7degreesC in the protected treatment (deep snow cover) and -10.5degreesC in the exposed treatment (thin snow cover). The treatments simulated the soil temperature conditions of a local mountain birch forest and heath site, respectively. During June and July, the relative growth rate (R.) and nitrogen accumulation rate (RN) in the exposed treatment were lower compared to the protected treatment. In addition, the seedlings of the exposed treatment allocated a greater proportion of biomass to roots compared to the protected treatment. Thus, leaf growth was reduced in the exposed compared to the protected treatment. We concluded that lower winter temperature in soils can result in stronger root injury that stimulates the growth of replacement roots and reduces nutrient uptake capacity and growth rate during summer. In concert with other possible factors causing root disruption during winter, e.g., frequent freeze-thaw cycles, the mechanism identified here might be important for survival of tree seedlings in subarctic and alpine areas, especially near treelines. The implications are discussed specifically for mountain birch seedling growth and survival in treeless subarctic heath sites and above treelines in northern Europe.</t>
  </si>
  <si>
    <t>Swedish Univ Agr Sci, Dept Short Rotat Forestry, SE-75007 Uppsala, Sweden; Abisko Sci Res Stn, SE-98107 Abisko, Sweden; Uppsala Univ, EBC, Dept Plant Ecol, SE-75236 Uppsala, Sweden</t>
  </si>
  <si>
    <t>Swedish University of Agricultural Sciences; Uppsala University</t>
  </si>
  <si>
    <t>Weih, M (corresponding author), Swedish Univ Agr Sci, Dept Short Rotat Forestry, Box 7016, SE-75007 Uppsala, Sweden.</t>
  </si>
  <si>
    <t>Karlsson, Staffan/J-3082-2012; Weih, Martin/H-5093-2011</t>
  </si>
  <si>
    <t>Karlsson, Staffan/0000-0002-5739-5213; Weih, Martin/0000-0003-3823-9183</t>
  </si>
  <si>
    <t>10.2307/1552201</t>
  </si>
  <si>
    <t>WOS:000183096400009</t>
  </si>
  <si>
    <t>Linderholm, HW</t>
  </si>
  <si>
    <t>Twentieth-century Scots pine growth variations in the central Scandinavian Mountains related to climate change</t>
  </si>
  <si>
    <t>NORTH-ATLANTIC OSCILLATION; TREE-RING; SUMMER TEMPERATURES; ATMOSPHERIC CIRCULATION; SYLVESTRIS L.; MASS-BALANCE; RECONSTRUCTION; 20TH-CENTURY; VARIABILITY; RECORD</t>
  </si>
  <si>
    <t>Climate-sensitive trees are valuable for reconstructing past climates, but they also can be used to assess the impacts of environmental change, such as global warming, on forest ecosystems. Growth variability and growth responses to climate of a Scots pine (Pinus sylvestris L.) tree-ring width chronology, from the treeline in the central Scandinavian Mountains, were studied throughout the 20th century. Summer temperatures, especially in July, were the most influential climate factor for tree growth. Correlation analyses in three 30-yr periods showed that growth responses to climate varied through time, being particularly low in 1931 to 1960. Nevertheless, tree growth around 1950 was the highest for 320 yr, implying optimal growth conditions. This growth increase appears to be a response to increased summer temperatures, a lengthening of the growing season, and a temporal change in the atmospheric circulation pattern. Despite a continuation of seemingly favorable growth conditions in the latter half of the 20th century, pine growth decreased after the 1950s. It appears that high-altitude pine experienced stress that surpassed the positive effect of improved growth season climate. Since pine growth decline coincided with an unprecedented strong and positive period of wintertime North Atlantic Oscillation (NAO), a measure of strength of westerly winds bringing mild and moist air masses over Scandinavia, it is proposed that milder and wetter winters caused growth stress, and hence reduced growth, in high-altitude central Sweden.</t>
  </si>
  <si>
    <t>Stockholm Univ, Dept Phys Geog &amp; Quaternary Geol, SE-10691 Stockholm, Sweden; Cliamate Impacts Res Ctr, SE-98107 Abisko, Sweden</t>
  </si>
  <si>
    <t>Stockholm University</t>
  </si>
  <si>
    <t>Linderholm, HW (corresponding author), Stockholm Univ, Dept Phys Geog &amp; Quaternary Geol, SE-10691 Stockholm, Sweden.</t>
  </si>
  <si>
    <t>Linderholm, Hans/J-7665-2013; Linderholm, Hans/N-1020-2013</t>
  </si>
  <si>
    <t>Linderholm, Hans/0000-0002-1522-8919</t>
  </si>
  <si>
    <t>10.2307/1552202</t>
  </si>
  <si>
    <t>WOS:000183096400010</t>
  </si>
  <si>
    <t>McCarroll, D; Pettigrew, E; Luckman, A; Guibal, F; Edouard, JL</t>
  </si>
  <si>
    <t>Blue reflectance provides a surrogate for latewood density of high-latitude pine tree rings</t>
  </si>
  <si>
    <t>LIGHT IMAGE-ANALYSIS; SCOTS PINE; RECONSTRUCTION; TEMPERATURES</t>
  </si>
  <si>
    <t>In conifers growing at high latitudes and altitudes, the maximum density of tree rings is closely related to climate but is difficult and very expensive to measure. Here we compare maximum density with reflectance results obtained from Pinus sylvestris trees from northern Finland. Red, green, and blue reflectance spectra were obtained using a flatbed scanner and ultraviolet and infrared by scanning monochrome photographs at those wavelengths. A region-growing algorithm used to delimit the latewood of each ring automatically excludes resin ducts and cracks, and the minimum, mean, and maximum reflectance within the region were recorded. Blue minimum reflectance is most closely correlated with maximum density in both raw (r=-0.98) and detrended (r=-0.95) data, and as wavelength increases the correlation declines. The technique is probably most sensitive to lignin content, since the light energy absorbed by lignin declines as wavelength increases. Reliable results are obtained even from very thin (&lt;0.1 mm) latewood rings and the use of a scanner, rather than a micro scope-mounted system, allows viewing magnification to be changed without altering reflectance values. The simple chemical pretreatment routinely applied to X-ray samples is sufficient to remove the color difference between heartwood and sap wood in the blue band.</t>
  </si>
  <si>
    <t>Univ Coll Swansea, Dept Geog, Swansea SA2 8PP, W Glam, Wales; Univ Aix Marseille, Mediterranean Inst Ecol &amp; Palaeoecol, F-13397 Marseille, France</t>
  </si>
  <si>
    <t>Swansea University; Aix-Marseille Universite</t>
  </si>
  <si>
    <t>Univ Coll Swansea, Dept Geog, Swansea SA2 8PP, W Glam, Wales.</t>
  </si>
  <si>
    <t>D.McCarroll@swansea.ac.uk</t>
  </si>
  <si>
    <t>Luckman, Adrian/GVS-1716-2022; McCarroll, Danny/E-5749-2011</t>
  </si>
  <si>
    <t>McCarroll, Danny/0000-0002-5992-5070; Luckman, Adrian/0000-0002-9618-5905</t>
  </si>
  <si>
    <t>10.2307/1552203</t>
  </si>
  <si>
    <t>WOS:000183096400011</t>
  </si>
  <si>
    <t>Laing, TE; Pienitz, R; Payette, S</t>
  </si>
  <si>
    <t>Evaluation of limnological responses to recent environmental change and caribou activity in the Riviere George Region, northern Quebec, Canada</t>
  </si>
  <si>
    <t>ARCTIC LAKE SAANAJARVI; NORTHWEST-TERRITORIES; DIATOM ASSEMBLAGES; CLIMATIC CHANGES; FINNISH LAPLAND; FOSSIL DIATOMS; RECONSTRUCTION; SEDIMENTS; HOLOCENE; PB-210</t>
  </si>
  <si>
    <t>The influence of natural terrestrial disturbances on the limnology of northern lakes is little known, yet important for understanding the ecology of these remote ecosystems. The Riviere George Caribou Herd (RGCH) in northern Quebec has undergone a large population increase since the 1950s, which has been accompanied by pronounced impacts (i.e., degradation of vegetation cover, soil erosion) on terrestrial environments of the Riviere George region. The goal of our study was to evaluate if the increased caribou activity and resulting terrestrial impacts have been accompanied by impacts on adjacent aquatic ecosystems. We studied the recent diatom assemblages (i.e., about the last two centuries) preserved in six sediment cores taken from lakes located in the most heavily impacted region, and in one core from a lake showing little evidence of recent caribou activity in the catchment basin. Core chronologies based on Pb-210 dating techniques indicated that average mass sedimentation rates in this subarctic region were very low (0.0039 to 0.012 g cm(-2) yr(-1)). Perhaps surprisingly, diatom assemblages from all seven cores showed very little change, indicating remarkably stable limnological conditions throughout the past similar to200 yr. The lack of a signal from caribou activity is most likely due to (1) short-term impacts being too transitory to be registered in the sediment record, and (2) long-term impacts not representing a significant perturbation outside the natural variability of these aquatic ecosystems. In contrast to other arctic regions, the limnological stability of our study sites suggests that recent climatic change impacts have been negligible in this region of northern Quebec, which seems to confirm climate model predictions that northern Quebec and Labrador will remain climatically stable under global warming scenarios.</t>
  </si>
  <si>
    <t>Univ Laval, Ctr Etud Nord, Paleolimnol Paleoecol Lab, Quebec City, PQ G1K 7P4, Canada; Univ Laval, Dept Geog, Quebec City, PQ G1K 7P4, Canada; Univ Laval, Dept Biol, Quebec City, PQ G1K 7P4, Canada</t>
  </si>
  <si>
    <t>Laval University; Laval University; Laval University</t>
  </si>
  <si>
    <t>Pienitz, R (corresponding author), Univ Laval, Ctr Etud Nord, Paleolimnol Paleoecol Lab, Quebec City, PQ G1K 7P4, Canada.</t>
  </si>
  <si>
    <t>10.2307/1552204</t>
  </si>
  <si>
    <t>WOS:000183096400012</t>
  </si>
  <si>
    <t>Stierle, AP; Eicken, H</t>
  </si>
  <si>
    <t>Sediment inclusions in Alaskan coastal sea ice: Spatial distribution, interannual variability, and entrainment requirements</t>
  </si>
  <si>
    <t>ARCTIC-OCEAN; BEAUFORT SEA; LAPTEV SEA; SHELF; TRANSPORT; ENVIRONMENT; EXPORT; WATERS; SLUSH; MODEL</t>
  </si>
  <si>
    <t>We investigated the spatial characteristics of sedimentary inclusions and elucidated processes controlling their spatial and temporal variability in the fast ice cover of the shallow-marine environment of Elson Lagoon near Barrow, Alaska. This was accomplished by examining the frazil ice layer of sea-ice cores representing the 1998, 1999, and 2000 fall freeze-up periods and comparing the results with a sediment resuspension model. Sediments occur exclusively as aggregates of clay to fine-silt sized particles that were confined to brine inclusions in the frazil ice. The average cross-sectional area of these aggregates is positively correlated with sediment concentration of the frazil ice (R-2=0.82, P&lt;0.01). The minimum distance between neighboring aggregates (nearest-neighbor distance) is negatively correlated with sediment concentration (R-2=0.78, P&lt;0.01). However, little correlation exists between the number of aggregates and sediment concentration. Sediment concentrations ranged from 24 to 1470 mg L-1 and sediment loads ranged from 2 g m(-2) to 384 g m(-2), with 1998 and 2000 sediment loads being one to two orders of magnitude smaller than 1999 sediment loads. Similarly, the potential for bottom-sediment resuspension was greater in 1999 than in 1998 and 2000 by more than a factor of two. Resuspension potential is controlled spatially by the local bathymetry and interannually by wind velocity and fetch. At submeter scales, increases in bottom sediment resuspension result in greater sea-ice sediment concentrations, larger aggregates, and smaller nearest-neighbor distances.</t>
  </si>
  <si>
    <t>Univ Alaska Fairbanks, Inst Geophys, Fairbanks, AK 99775 USA</t>
  </si>
  <si>
    <t>Eicken, H (corresponding author), Univ Alaska Fairbanks, Inst Geophys, POB 757320, Fairbanks, AK 99775 USA.</t>
  </si>
  <si>
    <t>hajo.eicken@gi.alaska.edu</t>
  </si>
  <si>
    <t>Eicken, Hajo/M-6901-2016</t>
  </si>
  <si>
    <t>10.2307/1552205</t>
  </si>
  <si>
    <t>WOS:000183096400013</t>
  </si>
  <si>
    <t>Oerlemans, J; Klok, EJ</t>
  </si>
  <si>
    <t>Energy balance of a glacier surface: Analysis of automatic weather station data from the Morteratschgletscher, Switzerland</t>
  </si>
  <si>
    <t>SCALAR TRANSFER-COEFFICIENTS; ABLATION ZONE; SUMMER; HEAT; ICE; ROUGHNESS; MOMENTUM; RECORD; SNOW</t>
  </si>
  <si>
    <t>We describe and analyze a complete 1-yr data set from an automatic weather station (AWS) located on the snout of the Morteratschgletscher, Switzerland. The AWS stands freely on the glacier surface and measures pressure, windspeed, wind direction, air temperature and humidity, incoming and reflected solar radiation, incoming and outgoing longwave radiation, snow temperature, and change in surface height (giving melt rates and snow accumulation). The wind is downglacier most of the time. As expected for a flow of katabatic origin, for air temperatures above the melting point we find a correlation between windspeed and temperature. We evaluate all significant components of the surface energy flux. For a (constant) turbulent exchange coefficient of 0.00153 (reference height 3.5 m) we obtain a perfect match between calculated and measured ice melt. The sensible heat flux is positive (towards the glacier surface) all the time with the largest values on fine summer days (daily mean values are typically 100 W m(-2) on the warmest days). The latent heat flux is small and negative in winter. In summer it is mainly positive (condensation), but negative values also occur. Altogether about 75% of the melt energy is supplied by radiation (shortwave and longwave) and 25% by the turbulent fluxes.</t>
  </si>
  <si>
    <t>Univ Utrecht, Inst Marine &amp; Atmospher Res, NL-3584 CC Utrecht, Netherlands</t>
  </si>
  <si>
    <t>Oerlemans, J (corresponding author), Univ Utrecht, Inst Marine &amp; Atmospher Res, Princetonpl 5, NL-3584 CC Utrecht, Netherlands.</t>
  </si>
  <si>
    <t>j.oerlemans@phys.uu.nl</t>
  </si>
  <si>
    <t>Oerlemans, Johannes/G-3802-2011</t>
  </si>
  <si>
    <t>10.2307/1552206</t>
  </si>
  <si>
    <t>Bronze, Green Published</t>
  </si>
  <si>
    <t>WOS:000183096400014</t>
  </si>
  <si>
    <t>McEwen, LJ; Matthews, JA; Shakesby, RA; Berrisford, MS</t>
  </si>
  <si>
    <t>Holocene gorge excavation linked to boulder fan formation and frost weathering in a Norwegian alpine periglaciofluvial system (vol 34, pg 355, 2002)</t>
  </si>
  <si>
    <t>WOS:000183096400015</t>
  </si>
  <si>
    <t>Ebinghaus, R; Kock, HH; Coggins, AM; Spain, TG; Jennings, SG; Temme, C</t>
  </si>
  <si>
    <t>Long-term measurements of atmospheric mercury at Mace Head, Irish west coast, between 1995 and 2001</t>
  </si>
  <si>
    <t>mercury; atmosphere; background; long-term trend; depletion (MDE)</t>
  </si>
  <si>
    <t>TOTAL GASEOUS MERCURY; ANTHROPOGENIC SOURCES; SPRINGTIME DEPLETION; EUROPE; AMALGAMATION; EMISSIONS; EXCHANGE; TRENDS; SUMMIT; BUDGET</t>
  </si>
  <si>
    <t>Monitoring of atmospheric mercury concentrations has been carried out at the Mace Head atmospheric research station on the west coast of Ireland between September 1995 and December 2001. Measurements were carried out with a time resolution of 15 min. No trend in the concentration levels has been detected during the measurement period, with the annual average concentrations remaining constant at 1.75 ng m(-3). A slight increase in the concentration levels is derived, if only clean sector filtered air masses clearly of marine origin are used. The Mace Head data set shows a seasonal pattern with higher monthly mean concentrations in the winter months. Comparison with two continental sites in Sweden shows, that atmospheric mercury concentrations at the western inflow boundary are on an average higher than those at the two continental sites, expressing a west to east decreasing concentration gradient. At Mace Head,,no indications for so-called Mercury Depletion Events (MDEs), recently reported for a number of sites in the Arctic and in the Antarctic, have been found between 1995 and 2001. (C) 2002 Elsevier Science Ltd. All rights reserved.</t>
  </si>
  <si>
    <t>GKSS Forschungszentrum Geesthacht GmbH, Inst Coastal Res Phys &amp; Chem Anal, D-21502 Geesthacht, Germany; Natl Univ Ireland Univ Coll Galway, Dept Expt Phys, Galway, Ireland; Univ Jena, Inst Inorgan &amp; Analyt Chem, D-07743 Jena, Germany</t>
  </si>
  <si>
    <t>Helmholtz Association; Helmholtz-Zentrum Hereon; Ollscoil na Gaillimhe-University of Galway; Friedrich Schiller University of Jena</t>
  </si>
  <si>
    <t>GKSS Forschungszentrum Geesthacht GmbH, Inst Coastal Res Phys &amp; Chem Anal, Max Planck Str 1, D-21502 Geesthacht, Germany.</t>
  </si>
  <si>
    <t>ralf.ebinghaus@gkss.de</t>
  </si>
  <si>
    <t>Coggins, Ann Marie/0000-0002-7318-8994; Spain, Gerard/0000-0002-4548-2483</t>
  </si>
  <si>
    <t>PII S1352-2310(02)00691-X</t>
  </si>
  <si>
    <t>10.1016/S1352-2310(02)00691-X</t>
  </si>
  <si>
    <t>614WV</t>
  </si>
  <si>
    <t>WOS:000179215200001</t>
  </si>
  <si>
    <t>Deshpande, CG; Kamra, AK</t>
  </si>
  <si>
    <t>Aerosol size distributions in the north and south Indian ocean during the northeast monsoon season</t>
  </si>
  <si>
    <t>ATMOSPHERIC RESEARCH</t>
  </si>
  <si>
    <t>tropospheric aerosols; marine aerosols; marine pollution; aerosol size distribution; aerosols over Indian ocean; aerosols during northeast monsoon</t>
  </si>
  <si>
    <t>MARINE BOUNDARY-LAYER; CLOUD CONDENSATION NUCLEI; PRE-INDOEX CRUISE; ELECTRICAL-CONDUCTIVITY; PHYSICAL-PROPERTIES; METEOROLOGICAL TRANSPORT; PARTICLE-PRODUCTION; ATMOSPHERIC NUCLEI; AIR-POLLUTION; MID-PACIFIC</t>
  </si>
  <si>
    <t>Measurements of aerosol size distributions (3- to 1000-nm diameter) were made over the Indian Ocean (15degreesN, 75degreesE to 70degreesS, 11degreesE) during the onward (December 12, 1996 to January 6, 1997) and return (March 9 to April 5, 1997) cruises of the XVI Indian Scientific Expedition to the Antarctic. Observations show that during the January to April period, the environment over the Indian Ocean undergoes a transition from a relatively clean to a fairly polluted one. Our observations of the large concentrations and the North-to-South positive gradient of aerosol concentration over the northern Indian Ocean strongly support the transport of aerosols and trace gases with the seasonal northeasterly winds from the Indian subcontinent to the Indian Ocean. The results also indicate the production of new particles over the oceanic region by the gas-to-particle conversion processes. During this season, because of the persistent northeasterly winds and the shift of the Inter-Tropical Convergence Zone (ITCZ) to the Southern Hemisphere in this region, the air pollutants over the northern Indian Ocean are carried into the Southern Hemisphere with the cross-equatorial flow and reach up to the southern limit of the ITCZ. Some pockets of very high aerosol concentrations have been observed in and around the ITCZ. The nucleation mode particles are observed in great abundance up to 30degreesS. From the Indian coast to 5degreesN, aerosol particles are observed to have bimodal size distributions with a maximum in accumulation mode at 133-nm diameter and a minimum for nucleation/Aitken mode particles of &lt; 74 nm in diameter. The size distributions gradually change to trimodal ones with another minimum appearing for the coarse mode particles&gt;422 nm in the 5degreesN-Equator belt and are generally trimodal in the Southern Hemisphere. Transport of the nucleation mode particles from the free troposphere to the marine boundary layer (MBL) associated with the large-scale subsidence and the subsequent North-to-South transport of these and continental aerosols with the seasonal northeasterly surface winds over the Indian Ocean is proposed to explain the high concentration of the nucleation mode particles observed up to the ITCZ. Size distributions change to Junge's power-law type in regions of high aerosol concentration inside the ITCZ. Comparatively small concentrations with almost uniform size distributions that are typical of the pristine air in the Southern Hemisphere are observed from 42degreesS to 56degreesS. Some high peaks in aerosol concentration that can be associated with the low-pressure systems that encircle Antarctica are observed in the 60-70degreesS latitudinal belt. Further, our observations strongly demonstrate the effect of wind direction on the land-to-ocean transport of the atmospheric aerosols. (C) 2002 Elsevier Science B.V All rights reserved.</t>
  </si>
  <si>
    <t>Indian Inst Trop Meteorol, Pune, Maharashtra, India</t>
  </si>
  <si>
    <t>Ministry of Earth Sciences (MoES) - India; Indian Institute of Tropical Meteorology (IITM)</t>
  </si>
  <si>
    <t>Deshpande, CG (corresponding author), Indian Inst Trop Meteorol, Pune, Maharashtra, India.</t>
  </si>
  <si>
    <t>360 PARK AVE SOUTH, NEW YORK, NY 10010-1710 USA</t>
  </si>
  <si>
    <t>0169-8095</t>
  </si>
  <si>
    <t>ATMOS RES</t>
  </si>
  <si>
    <t>Atmos. Res.</t>
  </si>
  <si>
    <t>PII S0169-8095(02)00121-7</t>
  </si>
  <si>
    <t>10.1016/S0169-8095(02)00121-7</t>
  </si>
  <si>
    <t>622XM</t>
  </si>
  <si>
    <t>WOS:000179673000004</t>
  </si>
  <si>
    <t>Cui, JG; Zeng, LM; Su, JY; Lin, CW</t>
  </si>
  <si>
    <t>Regio- and stereo-selective reductions of steroidal 4-en-3, 6-dione</t>
  </si>
  <si>
    <t>CHEMICAL RESEARCH IN CHINESE UNIVERSITIES</t>
  </si>
  <si>
    <t>steroids; stigmast-4,22-dien-3,6-dione; regioselective reduction; metal ion</t>
  </si>
  <si>
    <t>FAMILY ECHINASTERIDAE; ANTARCTIC STARFISH</t>
  </si>
  <si>
    <t>The different regioselective and stereoselective products were obtained by the reduction of stigmast-4, 22-dien-3,6-diode with NaBH4-CH3OH when different kinds of metal ions was added to the reaction.</t>
  </si>
  <si>
    <t>Zhongshan Univ, Sch Chem &amp; Chem Engn, Guangzhou 510275, Peoples R China; Guangxi Teachers Coll, Dept Chem, Nanning 530001, Peoples R China; Guangxi Univ, Dept Chem, Nanning 530001, Peoples R China</t>
  </si>
  <si>
    <t>Sun Yat Sen University; Guangxi University</t>
  </si>
  <si>
    <t>HIGHER EDUCATION PRESS</t>
  </si>
  <si>
    <t>SHATANHOU ST 55, BEIJING 100009, PEOPLES R CHINA</t>
  </si>
  <si>
    <t>1005-9040</t>
  </si>
  <si>
    <t>CHEM RES CHINESE U</t>
  </si>
  <si>
    <t>Chem. Res. Chin. Univ.</t>
  </si>
  <si>
    <t>UNSP 1005-9040(2002)-04-400-05</t>
  </si>
  <si>
    <t>624TB</t>
  </si>
  <si>
    <t>WOS:000179776200007</t>
  </si>
  <si>
    <t>Dunlap, WC; Fujisawa, A; Yamamoto, Y; Moylan, TJ; Sidell, BD</t>
  </si>
  <si>
    <t>Notothenioid fish, krill and phytoplankton from Antarctica contain a vitamin E constituent (α-tocomonoenol) functionally associated with cold-water adaptation</t>
  </si>
  <si>
    <t>COMPARATIVE BIOCHEMISTRY AND PHYSIOLOGY B-BIOCHEMISTRY &amp; MOLECULAR BIOLOGY</t>
  </si>
  <si>
    <t>Antarctic ectotherms; krill; notothenioid fish; marine-derived tocopherol; alpha-tocomonoenol; phytoplankton; vitamin E</t>
  </si>
  <si>
    <t>SALMON SALMO-SALAR; ATLANTIC SALMON; HOMEOVISCOUS ADAPTATION; MEMBRANES; ORGANISMS; SELENIUM; SURVIVAL</t>
  </si>
  <si>
    <t>The vitamin E (VE) content of tissues from the Antarctic notothenioid fish, Chaenocephalus aceratus, Champsocephalus gunnari and Gobionotothen gibberifrons, and extracts of Antarctic krill Euphausia superba and phytoplankton collected from the Antarctic Peninsula was examined. Included in the VE composition was a newly described 'marine-derived' tocopherol (MDT), an unsaturated-isoprenoid derivative of alpha-tocopherol, that is attributed to enhancing antioxidant protection of cellular lipids at low temperature. MDT was found to co-exist with alpha-tocopherol in all Antarctic samples, ranging from 2.8 to 22.3% of the total VE composition. The highest level of VE was found in the liver of G. gibberifrons (VE=416.7 pmol/mg wet tissue) although this tissue had a low MDT composition (7.7%), whereas the greatest MDT composition was measured in the liver of C. gunnari (MDT=22.3%). In notothenioids, the pectoral adductor muscle, which has a high density of mitochondria, contained higher levels of VE than white myotomal muscle, but differences in MDT composition were small. Phytoplankton and krill also contained MDT, which supports the contention that MDT is obtained directly from the primary food chain. Our finding of MDT in Antarctic organisms is consistent with its putatively adaptive function to enhance antioxidant protection in coldwater metabolism. (C) 2002 Elsevier Science Inc. All rights reserved.</t>
  </si>
  <si>
    <t>Australian Inst Marine Sci, Townsville, Qld 4810, Australia; Univ Tokyo, Sch Engn, Dept Chem &amp; Biotechnol, Bunkyo Ku, Tokyo 1138656, Japan; Univ Maine, Sch Marine Sci, Orono, ME 04469 USA</t>
  </si>
  <si>
    <t>Australian Institute of Marine Science; University of Tokyo; University of Maine System; University of Maine Orono</t>
  </si>
  <si>
    <t>Australian Inst Marine Sci, PMB 3, Townsville, Qld 4810, Australia.</t>
  </si>
  <si>
    <t>w.dunlap@aims.gov.au</t>
  </si>
  <si>
    <t>1096-4959</t>
  </si>
  <si>
    <t>1879-1107</t>
  </si>
  <si>
    <t>COMP BIOCHEM PHYS B</t>
  </si>
  <si>
    <t>Comp. Biochem. Physiol. B-Biochem. Mol. Biol.</t>
  </si>
  <si>
    <t>PII S1096-4959(02)00150-1</t>
  </si>
  <si>
    <t>10.1016/S1096-4959(02)00150-1</t>
  </si>
  <si>
    <t>Biochemistry &amp; Molecular Biology; Zoology</t>
  </si>
  <si>
    <t>623FE</t>
  </si>
  <si>
    <t>WOS:000179692000003</t>
  </si>
  <si>
    <t>Dezileau, L; Bareille, G; Reyss, JL</t>
  </si>
  <si>
    <t>Enrichments in authigenic uranium in glacial sediments of the Southern Ocean.</t>
  </si>
  <si>
    <t>COMPTES RENDUS GEOSCIENCE</t>
  </si>
  <si>
    <t>French</t>
  </si>
  <si>
    <t>uranium; Southern Ocean; diagenesis; palaeoproductivity</t>
  </si>
  <si>
    <t>DEEP-SEA SEDIMENTS; INTERGLACIAL CHANGES; BARIUM; PRODUCTIVITY; OXIDATION; ELEMENTS; BASIN</t>
  </si>
  <si>
    <t>Four sediment cores from the Polar frontal zone and the Antarctic zone in the Indian sector of the Southern Ocean present an increase of authigenic uranium during glacial periods. We show that this increase in uranium is due to a combination of (i) an increase in the lateral transport of organic matter, (ii) a decrease in the oxygen in deep waters, and (iii) a process of diagenesis. It appears that uranium concentration cannot be used as a proxy of palaeoproductivity in the Southern Ocean, as previously suggested by Kumar et al. in 1995. (C) 2002 Academie des sciences / Editions scientifiques et medicales Elsevier SAS.</t>
  </si>
  <si>
    <t>Univ Concepcion, PROFC, Concepcion 3, Chile; Univ Concepcion, Ctr Invest Oceanog Pacifico SurOriental, Concepcion 3, Chile; Univ Pau &amp; Pays Adour, CNRS, EP 132, Lab Chim Analyt Bioinorgan &amp; Environm, F-64000 Pau, France; CNRS, CEA, Lab Mixte, Lab Sci Climat &amp; Environm, F-91198 Gif Sur Yvette, France</t>
  </si>
  <si>
    <t>Universidad de Concepcion; Universidad de Concepcion; Universite de Pau et des Pays de l'Adour; Centre National de la Recherche Scientifique (CNRS); CEA; Centre National de la Recherche Scientifique (CNRS); Universite Paris Saclay</t>
  </si>
  <si>
    <t>Dezileau, L (corresponding author), Univ Concepcion, PROFC, Concepcion 3, Chile.</t>
  </si>
  <si>
    <t>dezileau@profc.udec.cl</t>
  </si>
  <si>
    <t>Bareille, Gilles/AAS-3113-2020</t>
  </si>
  <si>
    <t>ELSEVIER FRANCE-EDITIONS SCIENTIFIQUES MEDICALES ELSEVIER</t>
  </si>
  <si>
    <t>23 RUE LINOIS, 75724 PARIS, FRANCE</t>
  </si>
  <si>
    <t>1631-0713</t>
  </si>
  <si>
    <t>CR GEOSCI</t>
  </si>
  <si>
    <t>C. R. Geosci.</t>
  </si>
  <si>
    <t>10.1016/S1631-0713(02)01826-6</t>
  </si>
  <si>
    <t>637CC</t>
  </si>
  <si>
    <t>WOS:000180493200004</t>
  </si>
  <si>
    <t>Baduini, CL</t>
  </si>
  <si>
    <t>Parental provisioning patterns of Wedge-tailed Shearwaters and their relation to chick body condition</t>
  </si>
  <si>
    <t>CONDOR</t>
  </si>
  <si>
    <t>adult body condition; chick body condition; meal size; provisioning; Puffinus pacificus; trip duration; Wedge-tailed Shearwater</t>
  </si>
  <si>
    <t>PELAGIC SEABIRD; CORYS SHEARWATER; MANX SHEARWATERS; ANTARCTIC PETREL; FORAGING TRIPS; FOOD; STRATEGIES; DIOMEDEA; GROWTH; RATES</t>
  </si>
  <si>
    <t>I studied the provisioning patterns of a subtropical, northern-hemisphere procellariiform, the Wedge-tailed Shearwater (Puffinus pacificus) and measured the responses of parents to chick body condition. Foraging trip length, meal Size, delivery rate, and chick body condition were measured during nesting periods in 1996 and 1997. Wedge-tailed Shearwaters adopted a unimodal foraging strategy with foraging trips that averaged 1.5 to 2 days duration and averaged about 40-50 g of food per trip. The rate of food delivery (g of food per day spent foraging) decreased with increasing trip duration, such that one-day trips resulted in the greatest rate of food delivery to the nest in both 1996 and 1997. Chicks left in poorer body condition were more likely to receive visits from one or both adults the following evening (1996 and 1997) and received larger meals (1996) than those left in better condition. Although foraging strategies may differ from subpolar and temperate shearwater species, rates of food delivery to chicks (40-60 g per day) for Wedge-tailed Shearwaters were similar to these species, which feed in highly productive areas and employ bimodal (short and long) foraging trips. The distribution and abundance of prey resources in the foraging environment of procellariiform seabirds may influence foraging strategies of patients, the timing and amount they feed offspring, and the duration of parental care.</t>
  </si>
  <si>
    <t>Univ Calif Irvine, Dept Ecol &amp; Evolutionary Biol, Irvine, CA 92697 USA</t>
  </si>
  <si>
    <t>Claremont Coll, Joint Sci Dept, 925 N Mills Ave, Claremont, CA 91711 USA.</t>
  </si>
  <si>
    <t>cbaduini@jsd.claremont.edu</t>
  </si>
  <si>
    <t>Bond, Alexander L/A-3786-2010</t>
  </si>
  <si>
    <t>OXFORD UNIV PRESS INC</t>
  </si>
  <si>
    <t>CARY</t>
  </si>
  <si>
    <t>JOURNALS DEPT, 2001 EVANS RD, CARY, NC 27513 USA</t>
  </si>
  <si>
    <t>0010-5422</t>
  </si>
  <si>
    <t>1938-5129</t>
  </si>
  <si>
    <t>Condor</t>
  </si>
  <si>
    <t>10.1650/0010-5422(2002)104[0823:PPPOWT]2.0.CO;2</t>
  </si>
  <si>
    <t>614LG</t>
  </si>
  <si>
    <t>WOS:000179190400012</t>
  </si>
  <si>
    <t>You, Y</t>
  </si>
  <si>
    <t>A global ocean climatological atlas of the Turner angle: implications for double-diffusion and water-mass structure</t>
  </si>
  <si>
    <t>climatological atlas of the Turner angle; double-diffusion; water-mass structure; salt-fingering; diffusive convection; large-scale water masses; T-S profiles; density ratio; global oceans</t>
  </si>
  <si>
    <t>PACIFIC INTERMEDIATE WATER; ATLANTIC CENTRAL WATER; INDIAN-OCEAN; NORTH PACIFIC; SALT FINGERS; DENSITY RATIO; MIXED-LAYER; CIRCULATION; MODEL; TEMPERATURE</t>
  </si>
  <si>
    <t>The 1994 Levitus climatological atlas is used to calculate the Turner angle (named after J. Stewart Turner) to examine which oceanic water masses are favorable for double-diffusion in the form of diffusive convection or salt-fingering and which are doubly stable. This atlas complements the Levitus climatology. It reveals the major double-diffusive signals associated with large-scale water-mass structure. In total, about 44% of the oceans display double-diffusion, of which 30% is salt-fingering and 14% is diffusive double-diffusion. Results show that various central and deep waters are favorable for salt-fingering. The former is due to positive evaporation minus precipitation, and the latter is due to thermohaline circulation, i.e. the southward spreading of relatively warm, salty North Atlantic Deep Water (NADW) overlying cold, fresh Antarctic Bottom Water. In the northern Indian Ocean and eastern North Atlantic, favorable conditions for salt-fingering are found throughout the water column. The Red Sea (including the Persian Gulf) and Mediterranean Sea are the sources of warm, salty water for the ocean. As consequence, temperature and salinity in these outflow regions both decrease from the sea surface to the bottom. On the other hand, ocean currents are in general sluggish in these regions. In the polar and subpolar regions of Arctic and Antarctic, Okhotsk Sea, Gulf of Alaska, the subpolar gyre of the North Pacific, the Labrador Sea, and the Norwegian Sea, the upper layer water is favorable for diffusive convection because of high latitude surface cooling and ice melting. Weak and shallow diffusive convection is also found throughout 'tropical regions and the Bay of Bengal. The former is due to excessive precipitation over evaporation and rain cooling, and the latter is due to both precipitation and river runoff. Diffusive convection in the ocean's interior is unique to the South Atlantic between Antarctic Intermediate Water and upper NADW (uNADW). It is the consequence of the intrusive equatorward flow of upper Circumpolar Deep Water, which carries with it the minimum temperature and very low salinity overlying warm, salty uNADW. (C) 2003 Elsevier Science Ltd. All rights reserved.</t>
  </si>
  <si>
    <t>Univ Sydney, Inst Marine Sci, USIMS, Sydney, NSW 2006, Australia; Univ Tokyo, Ctr Climate Syst Res, Meguro Ku, Tokyo 1538904, Japan; Univ New S Wales, Sch Math, Dept Appl Math, Sydney, NSW 2052, Australia</t>
  </si>
  <si>
    <t>University of Sydney; University of Tokyo; University of New South Wales Sydney</t>
  </si>
  <si>
    <t>You, Y (corresponding author), Univ Sydney, Inst Marine Sci, USIMS, Edgeworth David Bldg FO5, Sydney, NSW 2006, Australia.</t>
  </si>
  <si>
    <t>PII S0967-0637(02)00099-7</t>
  </si>
  <si>
    <t>10.1016/S0967-0637(02)00099-7</t>
  </si>
  <si>
    <t>639FU</t>
  </si>
  <si>
    <t>WOS:000180617600009</t>
  </si>
  <si>
    <t>Testing theories of the vertical stratification of the ACC against observations</t>
  </si>
  <si>
    <t>DYNAMICS OF ATMOSPHERES AND OCEANS</t>
  </si>
  <si>
    <t>antarctic circumpolar current; stratification; residual circulation</t>
  </si>
  <si>
    <t>ANTARCTIC CIRCUMPOLAR CURRENT; SOUTHERN-OCEAN; DEACON CELL; DYNAMICS; VARIABILITY; TRANSPORTS; TOPOGRAPHY; CONVECTION; MODEL</t>
  </si>
  <si>
    <t>Recent theories of the Antarctic Circumpolar Current (ACC) suggest that its lateral and vertical stratification is controlled by its baroclinic instability: eddies in the ACC not only feed-off the available potential energy stored in sloping isopycnals but play a central role is setting up that stratification. Simple theory makes predictions about how the depth of the thermocline in the ACC depends on the surface winds, the air-sea buoyancy flux and transfer by baroclinic eddies. By examining gridded hydrographic data, here we test some of these predictions against observations. We show that, to a remarkable degree, the buoyancy field in the ACC decays exponentially with depth beneath the mixed layer. The e-folding depth increases equatorward, from less than 500 m on the poleward flank of the ACC to greater then 1000 m on its equatorial flank, in a manner that is broadly consistent with the theory. (C) 2002 Elsevier Science B.V. All rights reserved.</t>
  </si>
  <si>
    <t>Acadia Univ, Dept Math &amp; Stat, Wolfville, NS B0P 1X0, Canada; MIT, Dept Earth Atmospher &amp; Planetary Sci, Cambridge, MA 02139 USA</t>
  </si>
  <si>
    <t>Karsten, RH (corresponding author), Acadia Univ, Dept Math &amp; Stat, Wolfville, NS B0P 1X0, Canada.</t>
  </si>
  <si>
    <t>0377-0265</t>
  </si>
  <si>
    <t>DYNAM ATMOS OCEANS</t>
  </si>
  <si>
    <t>Dyn. Atmos. Oceans</t>
  </si>
  <si>
    <t>NOV 1</t>
  </si>
  <si>
    <t>PII S0377-0265(02)00031-3</t>
  </si>
  <si>
    <t>10.1016/S0377-0265(02)00031-3</t>
  </si>
  <si>
    <t>Geochemistry &amp; Geophysics; Meteorology &amp; Atmospheric Sciences; Oceanography</t>
  </si>
  <si>
    <t>604WF</t>
  </si>
  <si>
    <t>WOS:000178643500012</t>
  </si>
  <si>
    <t>Convey, P; Pugh, PJA; Jackson, C; Murray, AW; Ruhland, CT; Xiong, FS; Day, TA</t>
  </si>
  <si>
    <t>Response of antarctic terrestrial microarthropods to long-term climate manipulations</t>
  </si>
  <si>
    <t>ECOLOGY</t>
  </si>
  <si>
    <t>Acari; Antarctic soil microarthropods and climate change; arthropod; climate change; climate manipulation; Collembola; Diptera; temperature variation; effect an arthropod numbers; ultraviolet radiation; water availability; effect on arthropod numbers</t>
  </si>
  <si>
    <t>UV-B RADIATION; EXPERIMENTAL TEMPERATURE ELEVATION; MOSS-TURF HABITAT; VASCULAR PLANTS; COLOBANTHUS-QUITENSIS; ARTHROPOD COMMUNITIES; ENVIRONMENTAL-CHANGE; ARCTIC COLLEMBOLA; AMBIENT LEVELS; GROWTH</t>
  </si>
  <si>
    <t>The terrestrial biota of the Antarctic Peninsula region are experiencing marked changes in climate, especially rising temperatures, precipitation, and UV-B radiation-a combination unique worldwide. These changes, combined with the inherent simplicity of terrestrial communities, have led to their use as model systems to predict the future climate change responses of biota at lower latitudes. However, studies integrating responses at different levels of the community trophic structure are lacking. We report here the consequences on the soil microarthropod community of a four-year, multivariate, climate-manipulation experiment carried out over vegetation near Palmer Station, Anvers Island, western Antarctic Peninsula. The experiment used a multifactorial randomized-block design, deploying filters to raise temperatures and reduce ultraviolet (UV)-B (280-320 nm) or both UV-B and UV-A (320-400 nm) radiation of existing vegetation, with further water and fertilizer amendment treatments. Seven microarthropod species recovered in sufficient numbers for statistical analyses showed considerable spatial aggregation independent of treatment, a feature typical of many soil invertebrates. Analyses using negative binomial generalized linear modeling identified further significant and consistent treatment impacts on both individual species and species groups. Relative to controls, manipulations increasing temperature decreased numbers of microarthropods (particularly Collembola), as did exposure to near-ambient levels of UV radiation (separate significant effects for both UV-A and UV-B), while water amendment increased numbers. The impacts of temperature and water are consistent with our understanding of the importance of these two environmental variables and their interaction in Antarctic terrestrial ecosystems. The negative impact of UV (-A or -B) on arthropod heterotroph and detritivore populations in the Antarctic terrestrial food web is likely to be a secondary consequence of UV impact on vegetation characteristics. This is, again, consistent with general predictions of the impact of changing UV climate on ecosystem function.</t>
  </si>
  <si>
    <t>British Antarctic Survey, Natl Environm Res Council, Cambridge CB3 0ET, England; Inst Publ Hlth, MRC, Biostat Unit, Cambridge CB2 2SR, England; Arizona State Univ, Dept Plant Biol, Tempe, AZ 85287 USA</t>
  </si>
  <si>
    <t>UK Research &amp; Innovation (UKRI); Natural Environment Research Council (NERC); NERC British Antarctic Survey; University of Cambridge; MRC Biostatistics Unit; Arizona State University; Arizona State University-Tempe</t>
  </si>
  <si>
    <t>Convey, P (corresponding author), British Antarctic Survey, Natl Environm Res Council, Maddingley Rd, Cambridge CB3 0ET, England.</t>
  </si>
  <si>
    <t>Convey, Peter/AAV-5728-2020; Day, Thomas/B-1462-2008</t>
  </si>
  <si>
    <t>Convey, Peter/0000-0001-8497-9903; Jackson, Christopher/0000-0002-6656-8913; Day, Thomas/0000-0002-1582-4585</t>
  </si>
  <si>
    <t>ECOLOGICAL SOC AMER</t>
  </si>
  <si>
    <t>1707 H ST NW, STE 400, WASHINGTON, DC 20006-3915 USA</t>
  </si>
  <si>
    <t>0012-9658</t>
  </si>
  <si>
    <t>622AT</t>
  </si>
  <si>
    <t>WOS:000179624600020</t>
  </si>
  <si>
    <t>Bowie, AR; Achterberg, EP; Sedwick, PN; Ussher, S; Worsfold, PJ</t>
  </si>
  <si>
    <t>Real-time monitoring of picomolar concentrations of iron(II) in marine waters using automated flow injection-chemiluminescence instrumentation</t>
  </si>
  <si>
    <t>BIOACTIVE TRACE-METALS; SOUTHERN-OCEAN; FERTILIZATION EXPERIMENT; PHYTOPLANKTON BLOOM; OXIDATION-KINETICS; DISSOLVED IRON; SURFACE WATERS; SEAWATER; FE(II); PRECONCENTRATION</t>
  </si>
  <si>
    <t>A shipboard-deployable,flow-injection (FI) based instrument for monitoring iron</t>
  </si>
  <si>
    <t>Univ Plymouth, Plymouth Environm Res Ctr, Dept Environm Sci, Plymouth PL4 8AA, Devon, England; Antarctic CRC, Hobart, Tas 7001, Australia; Bermuda Biol Stn Res, St Georges, Bermuda</t>
  </si>
  <si>
    <t>University of Plymouth</t>
  </si>
  <si>
    <t>Univ Plymouth, Plymouth Environm Res Ctr, Dept Environm Sci, Plymouth PL4 8AA, Devon, England.</t>
  </si>
  <si>
    <t>pworsfold@plymouth.ac.uk</t>
  </si>
  <si>
    <t>Achterberg, Eric P/C-5820-2009; Bowie, Andrew/C-8677-2013</t>
  </si>
  <si>
    <t>Worsfold, Paul/0000-0002-2262-7723; Ussher, Simon/0000-0001-6724-9212; Bowie, Andrew/0000-0002-5144-7799; Sedwick, Peter/0000-0003-0663-8323</t>
  </si>
  <si>
    <t>1520-5851</t>
  </si>
  <si>
    <t>10.1021/es020045v</t>
  </si>
  <si>
    <t>611ED</t>
  </si>
  <si>
    <t>WOS:000179002700034</t>
  </si>
  <si>
    <t>Garstecki, T; Wickham, SA; Arndt, H</t>
  </si>
  <si>
    <t>Effects of experimental sediment resuspension on a coastal planktonic microbial food web</t>
  </si>
  <si>
    <t>ESTUARINE COASTAL AND SHELF SCIENCE</t>
  </si>
  <si>
    <t>sediment resuspension; algae; protozoa; bacteria; nutrients; ciliates; heterotrophic nanoplankton; amoebae</t>
  </si>
  <si>
    <t>COMMUNITY STRUCTURE; BENTHIC DIATOMS; SHALLOW LAKE; EMS ESTUARY; BALTIC SEA; NUTRIENT; MARINE; MICROPHYTOBENTHOS; PHYTOPLANKTON; BACTERIA</t>
  </si>
  <si>
    <t>Effects of sediment resuspension on microbial food web dynamics in the water column of microcosms consisting of sediment cores with the overlying water have been studied. These microcosms were obtained from Rassower Strom, coastal Southern Baltic, and incubated for 108 h under in situ light and temperature conditions. They were resuspended with oscillating grids at intensities that reproduced the range of naturally occurring seston concentrations during resuspension events in these waters. After 12 h of resuspension, the abundances of pico- and nanoautotrophs, rhizopods (naked and testate amoebae) and heterotrophic nanoplankton had increased and were significantly positively correlated to seston concentration, indicating that resuspension of benthic representatives directly affected their water column abundances. Similar trends were found for benthic diatoms and ciliates. In addition, resuspension enhanced population growth of pico- and nanoautotrophs and resuspended diatoms over the whole course of the experiment. This enhancement was independent of a direct transport of cells from the sediment and was most likely caused by reduced nitrogen limitation due to resuspension. The abundance of heterotrophic nanoplankton was tightly correlated to those of their main food organisms, pico- and nanoautotrophs and bacteria. It was also significantly increased by resuspension over the whole course of the experiment. This is consistent with decreased bottom-up control of heterotrophic nanoplankton due to resuspension. These results indicate that sediment resuspension may strongly affect the planktonic microbial food web of coastal waters, both by a direct transport of cells from the sediment into the water column and by indirect effects mediated by dissolved nutrients and trophic interactions. (C) 2002 Elsevier Science Ltd. All rights reserved.</t>
  </si>
  <si>
    <t>Univ Greifswald, Inst Ecol, D-18565 Kloster Hiddensee, Germany; Univ Cologne, Inst Zool, D-60923 Cologne, Germany</t>
  </si>
  <si>
    <t>Universitat Greifswald; University of Cologne</t>
  </si>
  <si>
    <t>Garstecki, T (corresponding author), British Antarctic Survey, High Cross,Madingley Rd, Cambridge CB3 0ET, England.</t>
  </si>
  <si>
    <t>Arndt, Hartmut/K-9364-2017</t>
  </si>
  <si>
    <t>Arndt, Hartmut/0000-0003-2811-3595</t>
  </si>
  <si>
    <t>0272-7714</t>
  </si>
  <si>
    <t>ESTUAR COAST SHELF S</t>
  </si>
  <si>
    <t>Estuar. Coast. Shelf Sci.</t>
  </si>
  <si>
    <t>10.1006/ecss.2001.0937</t>
  </si>
  <si>
    <t>620RU</t>
  </si>
  <si>
    <t>WOS:000179546900007</t>
  </si>
  <si>
    <t>Arnórsdóttir, J; Smáradóttir, RB; Magnússon, OT; Thorbjarnardóttir, SH; Eggertsson, G; Kristjánsson, MM</t>
  </si>
  <si>
    <t>Characterization of a cloned subtilisin-like serine proteinase from a psychrotrophic Vibrio species</t>
  </si>
  <si>
    <t>cold adaptation; psychrotrophic; Vibrio-proteinase; proteinase K-like; subtilisin-like proteinase</t>
  </si>
  <si>
    <t>ACTIVE CITRATE SYNTHASE; THERMUS-AQUATICUS YT-1; AQUALYSIN-I; COLD ADAPTATION; ANTARCTIC BACTERIUM; CRYSTAL-STRUCTURE; ESCHERICHIA-COLI; ALPHA-AMYLASE; PRO-SEQUENCE; CONFORMATIONAL FLEXIBILITY</t>
  </si>
  <si>
    <t>The gene encoding a subtilisin-like serine proteinase in the psychrotrophic Vibrio sp. PA44 has been successfully cloned, sequenced and expressed in Escherichia coli. The gene is 1593 basepairs and encodes a precursor protein of 530 amino acid residues with a calculated molecular mass of 55.7 kDa. The enzyme is isolated, however, a an active 40.6-kDa proteinase, without a 139 amino acid residue N-terminal prosequence. Under mild conditions the enzyme undergoes a further autocatalytic cleavage to give a 29.7-kDa proteinase that retains full enzymatic activity. The deduced amino acid sequence of the enzyme has high homology to proteinases of the proteinase K family of subtilisin-like proteinases. With respect to the enzyme characteristics compared in this study the properties of the wild-type and recombinant proteinases are the same. Sequence analysis revealed that especially with respect to the thermophilic homologues, aqualysin I from Thermus aquaticus and a proteinase from Thermus strain Rt41A, the cold-adapted Vibrio-proteinase has a higher content of polar/uncharged amino acids, a well a aspartate residues. The thermophilic enzymes had a higher content of arginines, and relatively higher number of hydrophobic amino acids and a higher aliphatic index. These factors may contribute to the adaptation of these proteinases to different temperature conditions.</t>
  </si>
  <si>
    <t>Univ Iceland, Inst Sci, Dept Biochem, IS-107 Reykjavik, Iceland; Univ Iceland, Inst Biol, IS-107 Reykjavik, Iceland</t>
  </si>
  <si>
    <t>University of Iceland; University of Iceland</t>
  </si>
  <si>
    <t>Kristjánsson, MM (corresponding author), Univ Iceland, Inst Sci, Dept Biochem, Dunhaga 3, IS-107 Reykjavik, Iceland.</t>
  </si>
  <si>
    <t>; Kristjansson, Magnus/L-2128-2015</t>
  </si>
  <si>
    <t>Magnusson, Olafur Thor/0000-0002-5285-9904; Kristjansson, Magnus/0000-0002-1787-675X</t>
  </si>
  <si>
    <t>10.1046/j.1432-1033.2002.03259.x</t>
  </si>
  <si>
    <t>613CX</t>
  </si>
  <si>
    <t>WOS:000179115100022</t>
  </si>
  <si>
    <t>Marshall, W; Laybourn-Parry, J</t>
  </si>
  <si>
    <t>The balance between photosynthesis and grazing in Antarctic mixotrophic cryptophytes during summer</t>
  </si>
  <si>
    <t>FRESHWATER BIOLOGY</t>
  </si>
  <si>
    <t>Antarctic; carbon budget; cryptophyte; mixotrophy; photosynthesis; survival</t>
  </si>
  <si>
    <t>ICE-COVERED LAKE; DRY VALLEY LAKES; PHYTOPLANKTON; DYNAMICS; BACTERIVORY; CRYPTOMONAS; FRYXELL; LIGHT; POPULATION; INGESTION</t>
  </si>
  <si>
    <t>1. Grazing and photosynthetic contributions to the carbon balance of planktonic, mixotrophic cryptophytes in Lakes Fryxell and Hoare in the Taylor Valley, Antarctica were measured during November and December 2000. 2. The cryptophytes never became entirely photosynthetic, although carbon derived from grazing decreased in December. Individual grazing rates ranged between 5.28 and 10.08 bacteria cell(-1) day(-1) in Lake Fryxell and 0.36-11.76 bacteria cell(-1) day(-1) in Lake Hoare. Grazing rates varied temporally and with depth in the water column. In Lake Fryxell, which is a meromictic lake, highest grazing occurred just above the chemocline. Individual photosynthetic rates ranged from 0.23 to 1.35 pg C cell(-1) h(-1) in Lake Fryxell and 0.074 to 1.08 pg C cell(-1) h(-1) in Lake Hoare. 3. Carbon acquisition by the cryptophyte community gained through grazing ranged between 8 and 31 during November in Lake Fryxell, dropping to between 2 and 24 in December. In Lake Hoare grazing contributed 12-21% of the community carbon budget in November and 1-28% in December. Around 4 of the carbon acquired from grazing and photosynthesis was remineralised through respiration. 4. Mixotrophy is probably a major survival strategy for cryptophytes in the extreme lakes of the Dry Valleys, because perennial ice-cover severely limits light penetration to the water column, whereas these phytoflagellates are not normally mixotrophic in lower latitude lakes. The evidence suggests that mixotrophy may be a mechanism for supplementing the carbon budget, as well as a means of acquiring nutrients for growth.</t>
  </si>
  <si>
    <t>Laybourn-Parry, J (corresponding author), Univ Nottingham, Sch Life &amp; Environm Sci, Nottingham NG7 2RD, England.</t>
  </si>
  <si>
    <t>0046-5070</t>
  </si>
  <si>
    <t>FRESHWATER BIOL</t>
  </si>
  <si>
    <t>Freshw. Biol.</t>
  </si>
  <si>
    <t>10.1046/j.1365-2427.2002.00950.x</t>
  </si>
  <si>
    <t>Ecology; Marine &amp; Freshwater Biology</t>
  </si>
  <si>
    <t>Environmental Sciences &amp; Ecology; Marine &amp; Freshwater Biology</t>
  </si>
  <si>
    <t>608LR</t>
  </si>
  <si>
    <t>WOS:000178848300003</t>
  </si>
  <si>
    <t>Pirrung, M; Hillenbrand, CD; Diekmann, B; Fütterer, D; Grobe, H; Kuhn, G</t>
  </si>
  <si>
    <t>Magnetic susceptibility and ice-rafted debris in surface sediments of the Atlantic sector of the Southern Ocean</t>
  </si>
  <si>
    <t>GEO-MARINE LETTERS</t>
  </si>
  <si>
    <t>ANTARCTIC CIRCUMPOLAR CURRENT; GLACIAL-MARINE-SEDIMENTS; CONTINENTAL RISE; EAST ANTARCTICA; WEDDELL-GYRE; SCOTIA SEA; PENINSULA; TRANSPORT; RETREAT; CYCLES</t>
  </si>
  <si>
    <t>Spatial distribution of magnetic susceptibility and the gravel fraction in surface sediments in the Atlantic sector of the Southern Ocean were investigated to reconstruct source areas and recent transport pathways of magnetominerals and ice-rafted debris. Maxima of magnetic susceptibility were observed offshore from areas where mafic source rocks occur, e.g. Queen Maud Land and the northern Antarctic Peninsula. The glacigenic input of debris and subsequent redeposition of fine material by bottom and turbidity currents on the continental margins result in regional variations of the gravel and susceptibility values. In the deep sea, however, the mixing of ice-rafted debris and turbidites from distal source areas causes a homogenous distribution of the susceptibility signal. On submarine elevations such as Maud Rise and Astrid Ridge, dust input may be an additional source for magnetominerals.</t>
  </si>
  <si>
    <t>Pirrung, M (corresponding author), Inst Geosci, D-07749 Jena, Germany.</t>
  </si>
  <si>
    <t>Kuhn, Gerhard/0000-0001-6069-7485; Grobe, Hannes/0000-0002-4133-2218; Diekmann, Bernhard/0000-0001-5129-3649</t>
  </si>
  <si>
    <t>0276-0460</t>
  </si>
  <si>
    <t>GEO-MAR LETT</t>
  </si>
  <si>
    <t>Geo-Mar. Lett.</t>
  </si>
  <si>
    <t>10.1007/s00367-002-0109-7</t>
  </si>
  <si>
    <t>627GA</t>
  </si>
  <si>
    <t>WOS:000179924200007</t>
  </si>
  <si>
    <t>Wilson, GS; Lavelle, M; McIntosh, WC; Roberts, AP; Harwood, DM; Watkins, DK; Villa, G; Bohaty, SM; Fielding, CR; Florindo, F; Sagnotti, L; Naish, TR; Scherer, RP; Verosub, KL</t>
  </si>
  <si>
    <t>Integrated chronostratigraphic calibration of the Oligocene-Miocene boundary at 24.0 ± 0.1 Ma from the CRP-2A drill core, Ross Sea, Antarctica</t>
  </si>
  <si>
    <t>GEOLOGY</t>
  </si>
  <si>
    <t>chronostratigraphy; isotope dating; Antarctica; biostratigraphy; Cape Roberts Project</t>
  </si>
  <si>
    <t>ASTRONOMICAL CALIBRATION; MAGNETOSTRATIGRAPHY; STRATIGRAPHY</t>
  </si>
  <si>
    <t>An expanded Oligocene-Miocene boundary interval recovered in the Cape Roberts Project CRP-2A core from beneath the Ross Sea, Antarctica, has yielded a high-resolution integrated chrono-stratigraphy that has, in turn, enabled a new, more direct, calibration of magnetic polarity and biostratigraphic events. The Oligocene-Miocene boundary interval in the CRP-2A core comprises three similar to60-m-thick, rapidly deposited (&gt;0.5 m/k.y.) sedimentary sequences (sequences 9, 10, and 11). In sequences 10 and 11, single-crystal, laser-fusion 40Ar/39Ar analyses of anorthoclase phenocrysts from two tephra horizons independently calibrate the CRP-2A magnetic-polarity stratigraphy and age model. Sequences 10 and 11 encompass subchron C6Cn.3n, which is dated as 24.3 +/- 0.1 to 24.16 +/- 0.1 Ma. Sequence 9 is interpreted to encompass subchron C6Cn.2n and the Oligocene-Miocene boundary, which is dated as 24.0 +/- 0.1 Ma. These ages are similar to0.2 m.y. older than those of the geomagnetic polarity time scale calibrated from seafloor-spreading ridges and similar to0.9-1.3 m.y. older than the newly proposed astronomically calibrated ages. We contend that the discrepancy with the astronomically calibrated ages arises from a mismatch of three 406 k.y. eccentricity cycles or a 1.2 m.y. modulation of obliquity amplitude in the astronomical calibration of the Oligocene-Miocene time scale.</t>
  </si>
  <si>
    <t>Univ Otago, Dept Geol, Dunedin, New Zealand; Univ Cambridge, Dept Earth Sci, Cambridge CB2 3EQ, England; British Antarctic Survey, Cambridge CB3 0ET, England; New Mexico Inst Min &amp; Technol, Socorro, NM 87801 USA; Univ Southampton, Sch Ocean &amp; Earth Sci, Southampton SO14 3ZH, Hants, England; Univ Nebraska, Dept Geosci, Lincoln, NE 68588 USA; Univ Parma, Dipartimento Sci Terra, I-43100 Parma, Italy; Univ Calif Santa Cruz, Earth Sci Dept, Santa Cruz, CA 95064 USA; Univ Queensland, Dept Earth Sci, Brisbane, Qld 4072, Australia; Ist Nazl Geofis &amp; Vulcanol, I-00143 Rome, Italy; Inst Geol, Lower Hutt, New Zealand; Nucl Sci Ltd, Lower Hutt, New Zealand; No Illinois Univ, Dept Geol &amp; Environm Geosci, De Kalb, IL 60115 USA; Univ Calif Davis, Dept Geol, Davis, CA 95616 USA</t>
  </si>
  <si>
    <t>University of Otago; University of Cambridge; UK Research &amp; Innovation (UKRI); Natural Environment Research Council (NERC); NERC British Antarctic Survey; New Mexico Institute of Mining Technology; NERC National Oceanography Centre; University of Southampton; University of Nebraska System; University of Nebraska Lincoln; University of Parma; University of California System; University of California Santa Cruz; University of Queensland; Istituto Nazionale Geofisica e Vulcanologia (INGV); Northern Illinois University; University of California System; University of California Davis</t>
  </si>
  <si>
    <t>Univ Otago, Dept Geol, POB 56, Dunedin, New Zealand.</t>
  </si>
  <si>
    <t>Florindo, Fabio/M-1459-2019; Florindo, Fabio/AAU-2548-2021; Florindo, Fabio/F-4119-2010; Roberts, Andrew P/E-6422-2010; Sagnotti, Leonardo/AFM-3916-2022; Wilson, Gary S/B-3803-2010</t>
  </si>
  <si>
    <t>Florindo, Fabio/0000-0002-6058-9748; Florindo, Fabio/0000-0002-6058-9748; Sagnotti, Leonardo/0000-0003-3944-201X; Wilson, Gary/0000-0003-0025-3641; Naish, Tim/0000-0002-1185-9932</t>
  </si>
  <si>
    <t>GEOLOGICAL SOC AMER, INC</t>
  </si>
  <si>
    <t>PO BOX 9140, BOULDER, CO 80301-9140 USA</t>
  </si>
  <si>
    <t>0091-7613</t>
  </si>
  <si>
    <t>1943-2682</t>
  </si>
  <si>
    <t>10.1130/0091-7613(2002)030&lt;1043:ICCOTO&gt;2.0.CO;2</t>
  </si>
  <si>
    <t>609KH</t>
  </si>
  <si>
    <t>WOS:000178902000022</t>
  </si>
  <si>
    <t>Slusher, DL; Huey, LG; Tanner, DJ; Chen, G; Davis, DD; Buhr, M; Nowak, JB; Eisele, FL; Kosciuch, E; Mauldin, RL; Lefer, BL; Shetter, RE; Dibb, JE</t>
  </si>
  <si>
    <t>Measurements of pernitric acid at the South Pole during ISCAT 2000</t>
  </si>
  <si>
    <t>PEROXYNITRIC ACID; ICE; CHEMISTRY; HNO3; TEMPERATURES; NO(X); OH</t>
  </si>
  <si>
    <t>The first measurements of pernitric acid at the South Pole were performed during the second Investigation of Sulfur Chemistry in the Antarctic Troposphere (ISCAT 2000). Observed HO2NO2 concentrations averaged 25 pptv. Simple steady-state calculations constrained by measurements show that the lifetime of pernitric acid was largely controlled by dry deposition, with thermal decomposition becoming increasingly important at warmer temperatures. We determined that the pernitric acid equilibrium constant is less uncertain than indicated in the literature. One consequence of pernitric acid deposition to the snow surface is that it is an important sink for both NOx and HOx. Another is that the photochemistry of HO2NO2 in the Antarctic snowpack may be a NOx source in addition to nitrate photolysis. This might be one of the important differences in snow photochemistry between the South Pole and warmer polar sites.</t>
  </si>
  <si>
    <t>Georgia Inst Technol, Sch Earth &amp; Atmospher Sci, Atlanta, GA 30332 USA; Georgia Inst Technol, Sch Chem &amp; Biochem, Atlanta, GA 30332 USA; Natl Ctr Atmospher Res, Div Atmospher Chem, Boulder, CO 80307 USA; Univ New Hampshire, Climate Change Res Ctr, Inst Study Earth Oceans &amp; Space, Durham, NH 03824 USA</t>
  </si>
  <si>
    <t>University System of Georgia; Georgia Institute of Technology; University System of Georgia; Georgia Institute of Technology; National Center Atmospheric Research (NCAR) - USA; University System Of New Hampshire; University of New Hampshire</t>
  </si>
  <si>
    <t>Georgia Inst Technol, Sch Earth &amp; Atmospher Sci, Atlanta, GA 30332 USA.</t>
  </si>
  <si>
    <t>greg.huey@eas.gatech.edu</t>
  </si>
  <si>
    <t>Lefer, Barry/X-9091-2019; Lefer, Barry L/B-5417-2012; Nowak, John/B-1085-2008</t>
  </si>
  <si>
    <t>Lefer, Barry/0000-0001-9520-5495; Lefer, Barry L/0000-0001-9520-5495; Nowak, John/0000-0002-5697-9807</t>
  </si>
  <si>
    <t>10.1029/2002GL015703</t>
  </si>
  <si>
    <t>639DG</t>
  </si>
  <si>
    <t>WOS:000180611900007</t>
  </si>
  <si>
    <t>Schut, EW; Uenzelmann-Neben, G; Gersonde, R</t>
  </si>
  <si>
    <t>Seismic evidence for bottom current activity at the Agulhas Ridge</t>
  </si>
  <si>
    <t>GLOBAL AND PLANETARY CHANGE</t>
  </si>
  <si>
    <t>Symposium on From Process Studies to Reconstruction of the Palaeoenvironment</t>
  </si>
  <si>
    <t>APR 25-29, 2000</t>
  </si>
  <si>
    <t>NICE, FRANCE</t>
  </si>
  <si>
    <t>South Atlantic; Agulhas Ridge; seismic reflection; palaeo-reconstruction; bottom currents</t>
  </si>
  <si>
    <t>SOUTHERN-OCEAN; ATLANTIC; CIRCULATION; EVOLUTION; HISTORY; RISE</t>
  </si>
  <si>
    <t>In the South Atlantic water masses from the Atlantic and Indian Oceans meet Antarctic water masses. The Agulhas Ridge, a pronounced elevation of the ocean bottom in the eastern South Atlantic, has acted as a barrier for deep oceanic currents since the Cretaceous, such as the North Atlantic Deep Water (NADW) and Antarctic Bottom Water (AABW), or water masses derived from AABW such as Circumpolar Deep Water (CDW). The history of these currents is recorded in the sedimentary sequence in the adjacent Cape and Agulhas Basins. Seismic profiles over the Agulhas Ridge show sediment packages in the Cape Basin which are interpreted as contourite sheets. These consist of thick sequences interrupted by widespread hiatuses, with a predominantly low seismic reflectivity. The seismic data shows prominent reflectors inside contourite drift bodies which, at the location of the drill-sites of Ocean Drilling Program (ODP) Leg 177, can be attributed to hiatuses in the Early Oligocene, the Middle Miocene, around the Miocene/Pliocene boundary and in the early Pleistocene. In this way, ODP Leg 177 cores were used to date an elongate contourite drift in the Cape Basin. This drift shows sediments deposited by a westward current, implying that the bottom current in the Oligocene followed the same trajectory as present-day CDW does. (C) 2002 Elsevier Science B.V. All rights reserved.</t>
  </si>
  <si>
    <t>Alfred Wegener Inst Polar &amp; Marine Res, Bremerhaven, Germany</t>
  </si>
  <si>
    <t>Schut, EW (corresponding author), Alfred Wegener Inst Polar &amp; Marine Res, Bremerhaven, Germany.</t>
  </si>
  <si>
    <t>ewildebr@awi-bremerhaven.de</t>
  </si>
  <si>
    <t>Uenzelmann-Neben, Gabriele/AAI-8618-2020</t>
  </si>
  <si>
    <t>Uenzelmann-Neben, Gabriele/0000-0002-0115-5923</t>
  </si>
  <si>
    <t>0921-8181</t>
  </si>
  <si>
    <t>1872-6364</t>
  </si>
  <si>
    <t>GLOBAL PLANET CHANGE</t>
  </si>
  <si>
    <t>Glob. Planet. Change</t>
  </si>
  <si>
    <t>PII S0921-8181(02)00114-5</t>
  </si>
  <si>
    <t>623PF</t>
  </si>
  <si>
    <t>WOS:000179711500005</t>
  </si>
  <si>
    <t>Xiong, FSS; Ruhland, CT; Day, TA</t>
  </si>
  <si>
    <t>Effect of springtime solar ultraviolet-B radiation on growth of Colobanthus quitensis at Palmer Station, Antarctica</t>
  </si>
  <si>
    <t>GLOBAL CHANGE BIOLOGY</t>
  </si>
  <si>
    <t>Antarctica; biomass; Colobanthus quitensis; growth; ozone depletion; ultraviolet-B radiation</t>
  </si>
  <si>
    <t>FUEGO SOUTHERN ARGENTINA; SUB-ARCTIC HEATH; PIGMENT CONCENTRATIONS; VASCULAR PLANTS; TERRESTRIAL PLANTS; NATURAL ECOSYSTEM; FIELD CONDITIONS; OZONE DEPLETION; AMBIENT LEVELS; UV-A</t>
  </si>
  <si>
    <t>We examined the influence of solar ultraviolet-B radiation (UV-B; 280-315 nm) on the growth of Colobanthus quitensis plants by placing them under contrasting UV-B filters at Palmer Station, along the Antarctic Peninsula. The filters reduced diurnal biologically effective UV-B (UV-B-BE ) either by 83% ('reduced UV-B') or by 12% ('near-ambient UV-B') over the 63 day experiment (7 November 1998-8 January 1999). Ozone column depletion averaged 17% during the experiment. Relative growth and net assimilation rates of plants exposed to near-ambient UV-B were 30 and 20% lower, respectively, than those of plants exposed to reduced UV-B. The former plants produced 29% less total biomass, as a result of containing 54% less aboveground biomass. These reductions in aboveground biomass were mainly the result of a 45% reduction in shoot biomass, and a 31% reduction in reproductive biomass. Reductions in shoot biomass were owing to an 18% reduction in branch production by main shoots, while reductions in reproductive biomass were the result of a 19% reduction in individual capsule mass. Total plant leaf area was reduced by 19% under near-ambient UV-B, although total leaf biomass was unaffected because leaves had a greater specific leaf mass. The reduction in plant leaf area under near-ambient UV-B was attributable to: (1) production of 11% fewer leaves per main shoot system and plant, which resulted from an 18% reduction in branch production by main shoots. Leaf production per individual main shoot or branch was not affected; (2) shorter leaf longevity-main shoots contained 14% fewer green leaves at a given time; and (3) smaller individual leaves-leaf elongation rates were 14% slower and mature leaves were 13% shorter.</t>
  </si>
  <si>
    <t>Arizona State Univ, Dept Plant Biol, Tempe, AZ 85287 USA</t>
  </si>
  <si>
    <t>Arizona State University; Arizona State University-Tempe</t>
  </si>
  <si>
    <t>Day, TA (corresponding author), Arizona State Univ, Dept Plant Biol, Tempe, AZ 85287 USA.</t>
  </si>
  <si>
    <t>Day, Thomas/B-1462-2008</t>
  </si>
  <si>
    <t>Day, Thomas/0000-0002-1582-4585</t>
  </si>
  <si>
    <t>1354-1013</t>
  </si>
  <si>
    <t>GLOBAL CHANGE BIOL</t>
  </si>
  <si>
    <t>Glob. Change Biol.</t>
  </si>
  <si>
    <t>10.1046/j.1365-2486.2002.00539.x</t>
  </si>
  <si>
    <t>Biodiversity Conservation; Ecology; Environmental Sciences</t>
  </si>
  <si>
    <t>599QP</t>
  </si>
  <si>
    <t>WOS:000178346900010</t>
  </si>
  <si>
    <t>Mahesh, A; Spinhirne, JD; Duda, DP; Eloranta, EW</t>
  </si>
  <si>
    <t>Atmospheric multiple scattering effects on GLAS altimetry - part II: Analysis of expected errors in antarctic altitude measurements</t>
  </si>
  <si>
    <t>IEEE TRANSACTIONS ON GEOSCIENCE AND REMOTE SENSING</t>
  </si>
  <si>
    <t>altimetry; climate change in the polar region; cloud studies; laser ranging; multiple scattering</t>
  </si>
  <si>
    <t>GREENLAND ICE-SHEET; CLOUD PROPERTIES; LASER ALTIMETRY; SOUTH-POLE; PLATEAU</t>
  </si>
  <si>
    <t>The altimetry bias in the Geoscience Laser Altimeter System or other laser altimeters resulting from atmospheric multiple scattering is studied in relationship to current knowledge of cloud properties over the Antarctic Plateau. Estimates of seasonal and interannual changes in the bias are presented. Results show the bias in altitude from multiple scattering in clouds would be a significant error source without correction. The selective use of low-optical-depth clouds or cloud-free observations, as well as improved analysis of the return pulse such as by the Gaussian method used here, is necessary to minimize the surface altitude errors. The magnitude of the bias is affected by variations in cloud height, cloud effective particle size, and optical depth. Interannual variations in these properties as well as in cloud cover fraction could lead to significant year-to-year variations in the altitude bias. Although cloud-free observations reduce biases in surface elevation measurements from space, over Antarctica these may often include near-surface blowing snow, also a source of scattering-induced delay. With careful selection and analysis of data, laser altimetry specifications can be met.</t>
  </si>
  <si>
    <t>NASA, Goddard Earth Sci &amp; Technol Ctr, Greenbelt, MD 20771 USA; NASA, Goddard Space Flight Ctr, Greenbelt, MD 20771 USA; Hampton Univ, Ctr Atmospher Sci, Hampton, VA 23681 USA; Univ Wisconsin, Ctr Space Sci &amp; Engn, Madison, WI 53706 USA</t>
  </si>
  <si>
    <t>National Aeronautics &amp; Space Administration (NASA); NASA Goddard Space Flight Center; National Aeronautics &amp; Space Administration (NASA); NASA Goddard Space Flight Center; Hampton University; University of Wisconsin System; University of Wisconsin Madison</t>
  </si>
  <si>
    <t>Mahesh, A (corresponding author), NASA, Goddard Earth Sci &amp; Technol Ctr, Greenbelt, MD 20771 USA.</t>
  </si>
  <si>
    <t>Spinhirne, James D/D-2541-2011</t>
  </si>
  <si>
    <t>IEEE-INST ELECTRICAL ELECTRONICS ENGINEERS INC</t>
  </si>
  <si>
    <t>345 E 47TH ST, NEW YORK, NY 10017-2394 USA</t>
  </si>
  <si>
    <t>0196-2892</t>
  </si>
  <si>
    <t>IEEE T GEOSCI REMOTE</t>
  </si>
  <si>
    <t>IEEE Trans. Geosci. Remote Sensing</t>
  </si>
  <si>
    <t>10.1109/TGRS.2002.803849</t>
  </si>
  <si>
    <t>Geochemistry &amp; Geophysics; Engineering, Electrical &amp; Electronic; Remote Sensing; Imaging Science &amp; Photographic Technology</t>
  </si>
  <si>
    <t>Geochemistry &amp; Geophysics; Engineering; Remote Sensing; Imaging Science &amp; Photographic Technology</t>
  </si>
  <si>
    <t>636ZJ</t>
  </si>
  <si>
    <t>WOS:000180486900002</t>
  </si>
  <si>
    <t>Skerratt, JH; Bowman, JP; Nichols, PD</t>
  </si>
  <si>
    <t>Shewanella olleyana sp nov., a marine species isolated from a temperate estuary which produces high levels of polyunsaturated fatty acids</t>
  </si>
  <si>
    <t>Shewanella; marine bacteria; polyunsaturated fatty acids; eicosapentaenoic acid; estuarine</t>
  </si>
  <si>
    <t>DISSIMILATORY FE(III) REDUCTION; BACTERIA; RECLASSIFICATION; SEA; DNA</t>
  </si>
  <si>
    <t>Two polyunsaturated fatty acid (PUFA) producing strains (ACEM 6 and ACEM 9(T)) isolated from a temperate, humic-rich river estuary in Tasmania, Australia, were found to be members of the genus Shewanelia. These strains were able to utilize humic compounds (tannic acid) and derivatives (2,6-anthraquinone disulfonate) as sole carbon sources and as electron acceptors for anaerobic respiration. The major fatty acids were typical of the genus Shewanelia; however, PUFAs mostly made up of eicosapentaenoic acid were produced at high levels (10.2-23.6% of total fatty acids) and at relatively high incubation temperatures (10.2% at 24 degreesC). Sequence analysis indicated that ACEM 6 and ACEM 9(T) had identical 16S rDNA sequences and were most closely related to Shewanella japonica (sequence similarity 97.1%). DNA hybridization and phenotypic characteristics confirmed that the isolates constituted a novel species of the genus Shewanelia, which is designated Shewanelia olleyana sp. nov. (type strain ACEM 9(T) = ACAM 644(T) = LMG 21437(T)).</t>
  </si>
  <si>
    <t>Univ Tasmania, Cooperat Res Ctr Antarctic &amp; So Ocean, Hobart, Tas, Australia; CSIRO, Div Marine Res, Hobart, Tas, Australia; Univ Tasmania, Dept Agr Sci, Hobart, Tas 7001, Australia</t>
  </si>
  <si>
    <t>Bowman, JP (corresponding author), Univ Tasmania, Dept Agr Sci, Hobart, Tas 7001, Australia.</t>
  </si>
  <si>
    <t>Nichols, Peter D/C-5128-2011; skerratt, jennifer/N-4313-2019; Bowman, John P/C-2414-2014; Skerratt, Jennifer/F-2010-2015; Bowman, John P./ABF-5108-2020</t>
  </si>
  <si>
    <t>skerratt, jennifer/0000-0001-9023-4692; Bowman, John P/0000-0002-4528-9333; Skerratt, Jennifer/0000-0001-9023-4692; Bowman, John P./0000-0002-4528-9333</t>
  </si>
  <si>
    <t>SOC GENERAL MICROBIOLOGY</t>
  </si>
  <si>
    <t>MARLBOROUGH HOUSE, BASINGSTOKE RD, SPENCERS WOODS, READING RG7 1AG, BERKS, ENGLAND</t>
  </si>
  <si>
    <t>10.1099/ijs.0.02351-0</t>
  </si>
  <si>
    <t>625WG</t>
  </si>
  <si>
    <t>WOS:000179838100028</t>
  </si>
  <si>
    <t>Thomas-Hall, S; Watson, K; Scorzetti, G</t>
  </si>
  <si>
    <t>Cryptococcus statzelliae sp nov and three novel strains of Cryptococcus victoriae, yeasts isolated from Antarctic soils</t>
  </si>
  <si>
    <t>Cryptococcus statzelliae sp nov.; rDNA sequencing; fatty acids; PAGE; scanning electron microscopy</t>
  </si>
  <si>
    <t>A morphological and physiological characterization of yeast strains CBS 8908, CBS 8915, CBS 8920, CBS 8925(T) and CBS 8926, isolated from Antarctic soils, was performed. Phylogenetic analyses of the sequences of the D1/D2 regions and the adjacent internal transcribed spacer (ITS) regions of the large-subunit rDNA of these strains placed them into the Tremellales clade of the Hymenomycetes. The sequence data identified strains CBS 8908, CBS 8915 and CBS 8920 as belonging to the species Cryptococcus victoriae. Strains CBS 8925(T) and CBS 8926 were found to represent an unique clade within the Hymenomycetes, with Dioszegia crocea CBS 6714(T) being their closest phylogenetic relative. Fatty acid composition and proteome fingerprint data for these novel strains were also obtained. No sexual state was observed. A novel basidiomycetous species, Cryptococcus statzelliae, is proposed for strains CBS 8925(T) and CBS 8926.</t>
  </si>
  <si>
    <t>Univ New England, Sch Biol Sci, Armidale, NSW 2351, Australia; Univ Miami, Rosenstiel Sch Marine &amp; Atmospher Sci, Key Biscayne, FL USA</t>
  </si>
  <si>
    <t>University of New England</t>
  </si>
  <si>
    <t>Univ New England, Sch Biol Sci, Armidale, NSW 2351, Australia.</t>
  </si>
  <si>
    <t>sthomas2@metz.une.edu.au</t>
  </si>
  <si>
    <t>Thomas-Hall, Skye/0000-0002-4208-5992</t>
  </si>
  <si>
    <t>10.1099/ijs.0.02293-0</t>
  </si>
  <si>
    <t>WOS:000179838100054</t>
  </si>
  <si>
    <t>Schott, JJ; Kleimenova, NG; Kozyreva, OV</t>
  </si>
  <si>
    <t>Temporal variations in the magnetic ratio in the range of geomagnetic pulsations and the magnetic variation study in Antarctica</t>
  </si>
  <si>
    <t>IZVESTIYA-PHYSICS OF THE SOLID EARTH</t>
  </si>
  <si>
    <t>CUSP</t>
  </si>
  <si>
    <t>Observations at the Antarctic observatories Dumont D'Urville, Scott Base, Mimy, and Vostok (geomagnetic latitudes exceeding 75degrees) were used to analyze temporal variations in the magnetic ratio (v) within the range of geomagnetic pulsations with periods of 70 to 1000 s. Diurnal variations in v, i.e., the ratio of the amplitude of the vertical component of the field (Z) to the amplitude of the horizontal component modulus (X-2 + Y-2)(1/2), were determined. The diurnal variations of v values at any given point is shown to be the same over a wide frequency range and is controlled by the local time and the distance to the external source. The seasonal v variation is not observable, although pulsation amplitudes in summer are much higher than in winter. Magnetic variation sounding (MVS) curves were constructed for the first time from data of high-latitude Antarctic observatories; previously, such investigations were conducted only at low and middle latitudes. The general shapes of the curves under quiet and disturbed geomagnetic conditions are similar; however, the v values under quiet conditions are higher. The curves from near-shore observatories yield a typically continental distribution of the electrical resistivity decreasing with depth. The MVS curve at the Vostok Observatory, located in the center of the Antarctic continent, reveals the presence of a thick conducting layer in the Earth's crust.</t>
  </si>
  <si>
    <t>Sch Earth Sci &amp; Observ, Strasbourg, France</t>
  </si>
  <si>
    <t>Schott, JJ (corresponding author), Sch Earth Sci &amp; Observ, Strasbourg, France.</t>
  </si>
  <si>
    <t>1069-3513</t>
  </si>
  <si>
    <t>IZV-PHYS SOLID EART+</t>
  </si>
  <si>
    <t>Izv.-Phys. Solid Earth</t>
  </si>
  <si>
    <t>620NM</t>
  </si>
  <si>
    <t>WOS:000179539500008</t>
  </si>
  <si>
    <t>Schib, JL; Icardo, JM; Durán, AC; Guerrero, A; López, D; Colvee, E; de Andrés, AV; Sans-Coma, V</t>
  </si>
  <si>
    <t>The conus arteriosus of the adult gilthead seabream (Sparus auratus)</t>
  </si>
  <si>
    <t>JOURNAL OF ANATOMY</t>
  </si>
  <si>
    <t>conus arteriosus; gilthead seabream; heart; myocardium; teleost</t>
  </si>
  <si>
    <t>BULBUS ARTERIOSUS; ANTARCTIC TELEOSTS; ARCHITECTURE; MORPHOLOGY; VALVES; HEART</t>
  </si>
  <si>
    <t>This paper reports on the presence of the conus arteriosus in the heart of the adult gilthead seabream, Sparus auratus (Perciformes, Teleostei). The junctional region between the single ventricle and the bulbus arteriosus has been studied by conventional light microscopy, and by scanning and transmission electron microscopy. In addition, fluorescent phalloidin and antibodies against the muscle myosin heavy chains, laminin and collagen type IV have been used. The conus arteriosus is a distinct muscular segment interposed between the ventricle and the bulbus arteriosus. It is clearly different from the bulbus arteriosus due to its myocardial nature. It can also be distinguished from the ventricular myocardium because: (1) it has a conus shape; (2) it is formed by compact, well-vascularized myocardium; (3) it is surrounded on its inner and outer faces by fibrous layers rich in collagen and elastin; (4) it constitutes the anatomical support of the so-termed conus valves; (5) it shows intense staining for laminin and type-IV collagen; and (6) the myocardial cells located close to the inner fibrous layer are helicoidally arranged. By contrast, the ventricular myocardium is highly trabecular, lacks a compacta, shows no vessels, and presents barely detectable amounts of laminin and collagen type IV. The presence of a distinct conus arteriosus in the heart of an evolutionary advanced teleost species indicates that the conus is not a vestigial segment from the evolutionary or embryological points of view. The characteristic spatial arrangement of the conus myocytes strongly suggests that the conus is implicated in the mechanical performance of the conus valves.</t>
  </si>
  <si>
    <t>Univ Cantabria, Fac Med, Dept Anat &amp; Cell Biol, Santander 39011, Spain; Univ Malaga, Fac Sci, Dept Anim Biol, E-29071 Malaga, Spain</t>
  </si>
  <si>
    <t>Universidad de Cantabria; Universidad de Malaga</t>
  </si>
  <si>
    <t>Univ Cantabria, Fac Med, Dept Anat &amp; Cell Biol, Poligono De Cazona,S-N, Santander 39011, Spain.</t>
  </si>
  <si>
    <t>icardojm@unican.es</t>
  </si>
  <si>
    <t>/AAG-9282-2020; Icardo, Jose Manuel/ABH-5431-2020</t>
  </si>
  <si>
    <t>Icardo, Jose Manuel/0000-0001-9543-2444</t>
  </si>
  <si>
    <t>0021-8782</t>
  </si>
  <si>
    <t>1469-7580</t>
  </si>
  <si>
    <t>J ANAT</t>
  </si>
  <si>
    <t>J. Anat.</t>
  </si>
  <si>
    <t>10.1046/j.0021-8782.2002.00110.x</t>
  </si>
  <si>
    <t>Anatomy &amp; Morphology</t>
  </si>
  <si>
    <t>613AZ</t>
  </si>
  <si>
    <t>WOS:000179109500005</t>
  </si>
  <si>
    <t>Tahnk, WR; Coakley, JA</t>
  </si>
  <si>
    <t>Improved calibration coefficients for NOAA-12 and NOAA-15 AVHRR visible and near-IR channels</t>
  </si>
  <si>
    <t>HIGH-RESOLUTION RADIOMETER; INFRARED CHANNELS; GREENLAND; SPACECRAFT; ISCCP</t>
  </si>
  <si>
    <t>A time history of the calibration coefficients for channels 1 and 2 of the Advanced Very High Resolution Radiometer (AVHRR) on the NOAA- 12 and NOAA- 15 spacecraft is presented. The history is based on reflectances observed for the interior zones of the Antarctic and Greenland ice sheets previously obtained with the NOAA-9 AVHRR, which serves as the calibration standard. Reflectances observed in December and January for the Antarctic ice sheet are used to characterize sensor performance. Reflectances observed in May and June for the interior of the Greenland ice sheet are used to detect any substantial midyear shifts in the coefficients. Prelaunch calibration coefficients for the NOAA- 12 AVHRR are shown to be in error and the coefficients drift with time. The coefficients are compared with those reported in earlier studies, and the time rate of change of the calibration is found to be smaller than previously reported. The observations for the NOAA- 15 AVHRR are consistent with the prelaunch calibration coefficients for channel 1 but indicate a slight shift in the coefficients for channel 2. The calibration coefficients for the NOAA- 15 AVHRR appear to be stable. A slight drift in the response of channel 2 in the low- reflectance range is barely detectable.</t>
  </si>
  <si>
    <t>Coakley, JA (corresponding author), Oregon State Univ, Coll Ocean &amp; Atmospher Sci, Ocean Adm 104, Corvallis, OR 97331 USA.</t>
  </si>
  <si>
    <t>10.1175/1520-0426(2002)019&lt;1826:ICCFNA&gt;2.0.CO;2</t>
  </si>
  <si>
    <t>610NY</t>
  </si>
  <si>
    <t>WOS:000178967900007</t>
  </si>
  <si>
    <t>Espy, PJ; Jutt, H</t>
  </si>
  <si>
    <t>Equilibrium temperature of water-ice aerosols in the high-latitude summer mesosphere</t>
  </si>
  <si>
    <t>mesosphere; aerosol; ice; cloud; PMSE; PMC</t>
  </si>
  <si>
    <t>OPTICAL-CONSTANTS; POLAR MESOSPHERE; NOCTILUCENT CLOUDS; LOWER THERMOSPHERE; GLOBAL CHANGE; MAC SINE; REGION; ATMOSPHERE; MESOPAUSE; BREAKING</t>
  </si>
  <si>
    <t>Previous models of the equilibrium temperature and existence regions of mesospheric aerosols have shown significant radiative heating of the aerosols and, consequently, a substantially reduced existence region. We have developed an iterative model that extends this previous work by incorporating a complete collisional energy transfer algorithm, including the effects of vertical winds and particle fall velocity, that is appropriate for the free molecular flow conditions found in the mesosphere. We have also updated the ice refractive index used in the model and accounted for the dependence of the radiative heating and collisional cooling terms on particle tempe;ature. Finally, a radiation model has been used to calculate the solar, terrestrial and atmospheric radiative inputs including the effects of multiple scattering and atmospheric absorption. As with the previous models, the particle temperature is calculated under steady-state conditions, assuming the background gas temperature remains constant and the aerosol does not change size, state or altitude. Under these conditions, the largest differences from previous models occur as a result of the updated ice index of refraction, particularly in the visible, which produces significantly less aerosol heating. These temperatures are combined with the observed properties of mesospheric aerosols to place limits on the water vapour mixing ratio, vertical-wind speeds, and maximum particle sizes. It is found that H2O mixing ratios of 10 ppmv and vertical winds of order 0.02 m s(-1) are consistent with observed particle distributions, and these lead to a radiative limit on the maximum particle radius of 250 nm. Crown Copyright (C) 2002 Published by Elsevier Science Ltd. All rights reserved.</t>
  </si>
  <si>
    <t>British Antarctic Survey, Div Phys Sci, Cambridge CB3 0ET, England; Embry Riddle Univ, Dept Phys Sci, Daytona Beach, FL USA; Univ Stuttgart, Inst Thermodynam Luft &amp; Raumfahrt, Stuttgart, Germany</t>
  </si>
  <si>
    <t>UK Research &amp; Innovation (UKRI); Natural Environment Research Council (NERC); NERC British Antarctic Survey; Embry-Riddle Aeronautical University; University of Stuttgart</t>
  </si>
  <si>
    <t>Espy, PJ (corresponding author), British Antarctic Survey, Div Phys Sci, Cambridge CB3 0ET, England.</t>
  </si>
  <si>
    <t>PII S1364-6826(02)00191-8</t>
  </si>
  <si>
    <t>10.1016/S1364-6826(02)00191-8</t>
  </si>
  <si>
    <t>602QT</t>
  </si>
  <si>
    <t>WOS:000178516500003</t>
  </si>
  <si>
    <t>Pancheva, D; Merzlyakov, E; Mitchell, NJ; Portnyagin, Y; Manson, AH; Jacobi, C; Meek, CE; Luo, Y; Clark, RR; Hocking, WK; MacDougall, J; Muller, HG; Kürschner, D; Jones, GOL; Vincent, RA; Reid, IM; Singer, W; Igarashi, K; Fraser, GI; Fahrutdinova, AN; Stepanov, AM; Poole, LMG; Malinga, SB; Kashcheyev, BL; Oleynikov, AN</t>
  </si>
  <si>
    <t>Global-scale tidal variability during the PSMOS campaign of June-August 1999:: interaction with planetary waves</t>
  </si>
  <si>
    <t>MLT region dynamics; tidal variability; non-linear interactions; lunar tide</t>
  </si>
  <si>
    <t>UPPER MIDDLE ATMOSPHERE; SOLAR SEMIDIURNAL TIDE; VHF RADAR OBSERVATIONS; SEMI-DIURNAL TIDE; LOWER THERMOSPHERE; SASKATOON 52-DEGREES-N; NONLINEAR-INTERACTIONS; MONTHLY SIMULATIONS; WIND OSCILLATIONS; MESOPAUSE REGION</t>
  </si>
  <si>
    <t>During the PSMOS Global-scale tidal variability experiment campaign of June 1-August 31, 1999, a network of radars made measurements of winds, waves and tides in the mesosphere/lower-thermosphere region over a wide range of latitudes. Clear evidence was found that fluctuations in tidal amplitudes occur on a global scale in both hemispheres, and that at least some of these fluctuations are periodic in nature. Modulation of the amplitude of the 12 h tide was particularly evident at periods of 10 and 16 days, suggesting a non-linear interaction with planetary waves of those periods to be responsible. In selected cases, the secondary waves predicted from non-linear theory could be identified and their zonal wave numbers determined. In some, but not all, cases the longitudinal structure of the secondary waves supports the theory of planetary-wave/tidal interaction being responsible for the observed tidal modulation. It was noted also that beating between a 12.4-lunar and the solar tide could produce a near 16-day modulation of the 12 h tide amplitude that is frequently observed in late summer. (C) 2002 Elsevier Science Ltd. All rights reserved.</t>
  </si>
  <si>
    <t>Univ Wales, Dept Phys, Aberystwyth SY23 3BZ, Dyfed, Wales; Inst Expt Meteorol, Obninsk, Russia; Univ Saskatchewan, Inst Space &amp; Atmospher Studies, Saskatoon, SK S7N 0W0, Canada; Univ Leipzig, Inst Meteorol, Leipzig, Germany; Univ New Hampshire, Durham, NH 03824 USA; Univ Western Ontario, London, ON, Canada; Cranfield Univ, Royal Mil Coll Sci, Swindon, Wilts, England; Univ Leipzig, Inst Geophys &amp; Geol, Collm Observ, Leipzig, Germany; British Antarctic Survey, NERC, Cambridge CB3 0ET, England; Univ Adelaide, Adelaide, SA, Australia; Albinos Inst Atmospher Phys, Kuhlungsborn, Germany; Commun Res Labs, Tokyo, Japan; Univ Canterbury, Christchurch 1, New Zealand; Kazan VI Lenin State Univ, Kazan 420008, Russia; Rhodes Univ, ZA-6140 Grahamstown, South Africa; Kharkov State Tech Univ Radioelect, Kharkov, Ukraine</t>
  </si>
  <si>
    <t>Aberystwyth University; University of Saskatchewan; Leipzig University; University System Of New Hampshire; University of New Hampshire; Western University (University of Western Ontario); Cranfield University; Leipzig University; UK Research &amp; Innovation (UKRI); Natural Environment Research Council (NERC); NERC British Antarctic Survey; University of Adelaide; National Institute of Information &amp; Communications Technology (NICT) - Japan; University of Canterbury; Kazan Federal University; Rhodes University; Ministry of Education &amp; Science of Ukraine; Kharkiv National University of Radio Electronics</t>
  </si>
  <si>
    <t>Univ Wales, Dept Phys, Aberystwyth SY23 3BZ, Dyfed, Wales.</t>
  </si>
  <si>
    <t>ddp@aber.ac.uk</t>
  </si>
  <si>
    <t>Merzlyakov, E G/U-5443-2017; Vincent, Robert A/E-5450-2013; Stepanov, Mikhail/AAB-2082-2021; Reid, Iain/B-5681-2012; Oleynikov, Anatoly/B-5793-2019</t>
  </si>
  <si>
    <t>Merzlyakov, E G/0000-0001-8344-5491; Vincent, Robert A/0000-0001-6559-6544; Stepanov, Mikhail/0000-0002-1596-6428; Reid, Iain/0000-0003-2340-9047; Oleynikov, Anatoly/0000-0002-4458-8833; Luo, Yi/0000-0001-8740-1912</t>
  </si>
  <si>
    <t>1879-1824</t>
  </si>
  <si>
    <t>PII S1364-6826(02)00199-2</t>
  </si>
  <si>
    <t>10.1016/S1364-6826(02)00199-2</t>
  </si>
  <si>
    <t>WOS:000178516500007</t>
  </si>
  <si>
    <t>Hall, A; Visbeck, M</t>
  </si>
  <si>
    <t>Synchronous variability in the southern hemisphere atmosphere, sea ice, and ocean resulting from the annular mode</t>
  </si>
  <si>
    <t>NORTH-ATLANTIC OSCILLATION; ANTARCTIC CIRCUMPOLAR WAVE; ZONAL FLOW VACILLATION; CLIMATE VARIABILITY; CIRCULATION; EXTENT; INDEX</t>
  </si>
  <si>
    <t>Zonally symmetric fluctuations of the midlatitude westerly winds characterize the primary mode of atmospheric variability in the Southern Hemisphere during all seasons. This is true not only in observations but also in an unforced 15 000-yr integration of a coarse-resolution (R15) coupled ocean-atmosphere model. Here it is documented how this mode of atmospheric variability, known as the Southern Annular Mode (SAM), generates ocean circulation and sea ice variations in the model integration on interannual to centennial timescales that are tightly in phase with the SAM. The positive phase of the SAM is associated with an intensification of the surface westerlies over the circumpolar ocean (around 60degreesS), and a weakening of the surface westerlies farther north. This induces Ekman drift to the north at all longitudes of the circumpolar ocean, and Ekman drift to the south at around 30degreesS. Through mass continuity, the Ekman drift generates anomalous upwelling along the margins of the Antarctic continent, and downwelling around 45degreesS. The anomalous flow diverging from the Antarctic continent also increases the vertical tilt of the isopycnals in the Southern Ocean, so that a more intense circumpolar current is also closely associated with positive SAM. In addition, the anomalous divergent flow advects sea ice farther north, resulting in an increase in sea ice coverage. Finally, positive SAM drives increases in poleward heat transport at about 30degreesS, while decreases occur in the circumpolar region. Ocean and sea ice anomalies of the opposite sign occur when the SAM is negative. The ocean and sea ice fluctuations associated with the SAM constitute a significant fraction of simulated ocean variability poleward of 30degreesS year-round. The robustness of the mechanisms relating the SAM to oceanic variability suggests that the SAM is likely an important source of large-scale variability in the real Southern Hemisphere ocean.</t>
  </si>
  <si>
    <t>Univ Calif Los Angeles, Dept Atmospher Sci, Los Angeles, CA 90095 USA; Columbia Univ, Lamont Doherty Earth Observ, Palisades, NY USA</t>
  </si>
  <si>
    <t>University of California System; University of California Los Angeles; Columbia University</t>
  </si>
  <si>
    <t>Hall, A (corresponding author), Univ Calif Los Angeles, Dept Atmospher Sci, 7955 Math Sci Bldg,405 Hilgard Ave,Box 951565, Los Angeles, CA 90095 USA.</t>
  </si>
  <si>
    <t>Visbeck, Martin/G-2461-2011; Hall, Alex/D-8175-2014; Visbeck, Martin H/B-6541-2016</t>
  </si>
  <si>
    <t>Visbeck, Martin/0000-0002-0844-834X; Visbeck, Martin H/0000-0002-0844-834X</t>
  </si>
  <si>
    <t>10.1175/1520-0442(2002)015&lt;3043:SVITSH&gt;2.0.CO;2</t>
  </si>
  <si>
    <t>604DQ</t>
  </si>
  <si>
    <t>WOS:000178601100005</t>
  </si>
  <si>
    <t>Renwick, JA</t>
  </si>
  <si>
    <t>Southern hemisphere circulation and relations with sea ice and sea surface temperature</t>
  </si>
  <si>
    <t>LOW-FREQUENCY VARIABILITY; ANNULAR MODES; PACIFIC; ENSO; OSCILLATION; REANALYSIS; BLOCKING; PATTERNS; TRENDS; OCEAN</t>
  </si>
  <si>
    <t>Relationships on the seasonal timescale between Southern Hemisphere 500-hPa height, sea surface temperature, and Antarctic sea ice variability have been investigated using NCEP-NCAR reanalyses, NCEP sea surface temperatures, and Met Office sea surface temperature and sea ice data. The dominant region of interannual variability in the Southern Hemisphere circulation, over the southeast Pacific Ocean, is found to be related to ENSO variability in tropical Pacific sea temperatures, as shown in a number of earlier papers. It is also related to Antarctic sea ice variability, where an out-of-phase relationship is found between sea ice extent in the central Pacific and in the southwest Atlantic Ocean. Sea ice extent is enhanced in one region when the atmospheric flow anomaly is equatorward, presumably through a combination of anomalous heat flux and direct advection. At the same time, the atmospheric flow anomaly in the other region tends to be poleward, resulting in a poleward retreat in the sea ice edge. Such an interaction accounted for 63% of the total squared covariance between hemispheric 500-hPa height and sea ice edge anomalies. Averaged over the full data series used, no strong lag relationships were found, suggesting that circulation, sea ice, and sea surface temperatures respond to one another on intraseasonal timescales. However, a composite analysis with respect to the times of maxima or minima in Pacific sea ice extent did show apparently nonlinear lag behavior. The negative height anomalies over the southeast Pacific associated with maxima in Pacific sea ice tend to precede the ice maximum, or at least show no tendency to persist after the time of the ice maximum. However, positive height anomalies over the southeast Pacific associated with minima in Pacific sea ice tend to persist for some months after the ice minimum. The latter effect may be related to anomalous surface heat fluxes associated with the upstream reduction in sea ice.</t>
  </si>
  <si>
    <t>Natl Inst Water &amp; Atmospher Res, Wellington, New Zealand</t>
  </si>
  <si>
    <t>NIWA, POB 14901, Wellington, New Zealand.</t>
  </si>
  <si>
    <t>J.Renwick@niwa.cri.nz</t>
  </si>
  <si>
    <t>Renwick, James/0000-0002-9141-2486</t>
  </si>
  <si>
    <t>10.1175/1520-0442(2002)015&lt;3058:SHCARW&gt;2.0.CO;2</t>
  </si>
  <si>
    <t>WOS:000178601100006</t>
  </si>
  <si>
    <t>Associations between δ18O of water and climate parameters in a simulation of atmospheric circulation for 1979-95</t>
  </si>
  <si>
    <t>ANTARCTIC SEA-ICE; SEMI-LAGRANGIAN TRANSPORT; O-18 ISOTOPE COMPOSITION; GENERAL-CIRCULATION; NUMERICAL-MODEL; PRECIPITATION; TEMPERATURE; VARIABILITY; SENSITIVITY; VAPOR</t>
  </si>
  <si>
    <t>The Melbourne University spectral atmospheric general circulation model is adapted to include prediction of stable water isotopes. The new scheme performs well when the modeled delta(18)O of precipitation is compared to both monthly observations from a global network and high-frequency measurements from two neighboring southern Australian sites. The associations between the modeled isotopic signal, temperature, and precipitation are examined on a variety of timescales by exploring the spatial distribution of temporal partial correlations. In contrast to the view commonly taken in paleoclimate studies, typically less than 20% of delta(18)O variance can be explained by temperature changes. The association with temperature is strongest when daily data are considered while the precipitation is more important on longer (interannual) timescales. This shows that as information about individual events is lost through the averaging process, simple distillation models, which have a strong theoretical temperature dependence, become less applicable. It is suggested that reconstruction of precipitation is more reliable on timescales longer than those considered, and the temperature dependence of precipitation facilitates an association between temperature and delta(18)O in proxy records. The small magnitudes of the correlation coefficients suggest that direct interpretation of proxy records such as temperature, or precipitation, should proceed under utmost scrutiny because reconstruction is far more complex than the simple problem of local regression. Specifically, should strong associations with temperature or precipitation exist, it is only partially due to the phenomenological covariance at the deposition site. As such, relationships used for paleoclimate reconstruction that incorporate information about the origin and condensation history of the moisture should be encouraged in place of overly simplistic relationships that involve just local conditions.</t>
  </si>
  <si>
    <t>Univ Melbourne, Sch Earth Sci, Melbourne, Vic, Australia</t>
  </si>
  <si>
    <t>CALTECH, Mail Stop 100-23,1200 E Calif Blvd, Pasadena, CA 91125 USA.</t>
  </si>
  <si>
    <t>dcn@caltech.edu</t>
  </si>
  <si>
    <t>NOONE, DAVID/0000-0002-8642-7843; Simmonds, Ian/0000-0002-4479-3255</t>
  </si>
  <si>
    <t>10.1175/1520-0442(2002)015&lt;3150:ABOOWA&gt;2.0.CO;2</t>
  </si>
  <si>
    <t>609CJ</t>
  </si>
  <si>
    <t>WOS:000178884800003</t>
  </si>
  <si>
    <t>Tuck, AF; Hovde, SJ; Richard, EC; Fahey, DW; Gao, RS; Bui, TP</t>
  </si>
  <si>
    <t>A scaling analysis of ER-2 data in the inner Arctic vortex during January-March 2000</t>
  </si>
  <si>
    <t>multifractal; ozone; wind; Arctic; stratosphere; vortex</t>
  </si>
  <si>
    <t>POLAR STRATOSPHERIC CLOUD; VELOCITY STRUCTURE FUNCTIONS; ANTARCTIC OZONE EXPERIMENT; POTENTIAL VORTICITY; INSITU MEASUREMENTS; UPPER TROPOSPHERE; WINTER; AIRCRAFT; DENITRIFICATION; TURBULENCE</t>
  </si>
  <si>
    <t>[1] We apply multifractal analysis using exponents H-1, C-1, and alpha to straight and level stratospheric flight legs of the ER-2 high-altitude research aircraft in the inner vortex (defined as having wind speed &lt;30 ms(-1)). The quantities so analyzed were ozone, wind speed s and temperature T, with the more gappy NOy data being analyzed by H-1 alone. The results for ozone, wind, and temperature are presented as time-dependent data on the three possible planes of the exponents and are compared for the different variables. We relate values of H-1 found in January observations of NOy to those found for ozone. Inner vortex mixing does not remove the small-scale polar stratospheric cloud-induced antipersistence (negative correlation between neighboring intervals for all choices of interval) in ozone by mid-March. Given that large particles were in evidence on all flights examined up to and including 7 March (although in greatly decreased numbers compared to January), this is reasonable. The value of a for ozone did, however, show an increase by mid-March, consistent with the widespread ozone loss evident from time series of histograms of ozone and methane. The histograms also demonstrate that inhomogeneity, with long tails in the probability distributions, is maintained throughout at the 15-25% level in both species. Interpretation is made in terms of polar stratospheric cloud (PSC) induced antipersistence competing with persistence induced by the large-scale insolation field, with the balance increasingly favoring the latter as time proceeds. Results are compared with inner vortex data obtained during earlier ER-2 flights in the Antarctic (1987) and in the Arctic (1989). The inner vortex over Antarctica showed significant increases in H-1 (O-3) and alpha during mid to late September. The correlated increases are consistent with latitudinal excursions of the outer vortex after the cessation of PSC processing, with increased solar exposure increasing H-1 (O-3) and a greater variety of filaments increasing a (O-3). It is concluded that the results have implications for the calculation of photochemical ozone loss in the vortex as a function of time and show that the combined effects of Bolgiano-Obukhov k(-11/5) vertical scaling and Kolmogorov k(-5/3) horizontal scaling predict the scaling behavior of wind speed observed by the aircraft. Rates of change of scaling exponents are linked to horizontal mixing rates and are combined with rates of change of methane to estimate diabatic descent and ozone loss rates for the inner vortex.</t>
  </si>
  <si>
    <t>NOAA, Aeron Lab, Boulder, CO 80303 USA; NASA, Ames Res Ctr, Div Earth Sci, Moffett Field, CA 94035 USA; Univ Colorado, CIRES, Boulder, CO 80309 USA</t>
  </si>
  <si>
    <t>National Oceanic Atmospheric Admin (NOAA) - USA; National Aeronautics &amp; Space Administration (NASA); NASA Ames Research Center; University of Colorado System; University of Colorado Boulder</t>
  </si>
  <si>
    <t>Tuck, AF (corresponding author), NOAA, Aeron Lab, R-E-AL6,325 Broadway, Boulder, CO 80303 USA.</t>
  </si>
  <si>
    <t>tuck@al.noaa.gov; hovde@al.noaa.gov; richard@al.noaa.gov; fahey@al.noaa.gec; gao@al.noaa.gov; pbui@mail.arc.nasa.gov</t>
  </si>
  <si>
    <t>Tuck, Adrian/F-6024-2011; Gao, Ru-Shan/H-7455-2013; Fahey, David/G-4499-2013</t>
  </si>
  <si>
    <t>Tuck, Adrian/0000-0002-2074-0538; Gao, Ru-Shan/0000-0001-6985-1637; Fahey, David/0000-0003-1720-0634</t>
  </si>
  <si>
    <t>10.1029/2001JD000879</t>
  </si>
  <si>
    <t>643PR</t>
  </si>
  <si>
    <t>WOS:000180870100007</t>
  </si>
  <si>
    <t>Atmospheric electric conductivity measurements over the Indian Ocean during the Indian Antarctic Expedition in 1996-1997</t>
  </si>
  <si>
    <t>atmospheric conductivity; latitudinal variation of conductivity; Indian Antarctic Expedition; electric conductivity over the Indian Ocean</t>
  </si>
  <si>
    <t>AEROSOL-PARTICLES; SIZE-DISTRIBUTION; AIR-POLLUTION; PACIFIC; NUCLEI</t>
  </si>
  <si>
    <t>The atmospheric electric conductivity measurements made over the Indian Ocean with a Gerdien's apparatus mounted aboard MV Polarbird during the XVI Indian Scientific Expedition in 1996-1997 are reported. Simultaneous three-hourly measurements of aerosol concentrations of 13-1000 nm size and some meteorological parameters are also reported. Latitudinal variation of conductivity along the cruise route shows a minimum at 28 S. Further, the variations in conductivity in the 10degreesN-20degreesS and 60degrees-70degreesS latitudinal belts show opposite trends on the outward and return cruises, which fall near to the onset and withdrawal phases of the northeast monsoon season, respectively. The results are explained on the basis of the well-known northward shift of the subsidence leg of the southern Hadley cell and of the position of the Intertropical Convergence Zone during the months of March-April in this region and the observations of the cyclonic systems near the continent of Antarctica during the period of outward cruise.</t>
  </si>
  <si>
    <t>Indian Inst Trop Meteorol, Pune 411008, Maharashtra, India</t>
  </si>
  <si>
    <t>Indian Inst Trop Meteorol, Pune 411008, Maharashtra, India.</t>
  </si>
  <si>
    <t>cgdesh@tropmet.res.in; kamra@tropmet.res.in</t>
  </si>
  <si>
    <t>D21</t>
  </si>
  <si>
    <t>10.1029/2002JD002118</t>
  </si>
  <si>
    <t>643KK</t>
  </si>
  <si>
    <t>WOS:000180860300049</t>
  </si>
  <si>
    <t>Jourdain, B; Legrand, M</t>
  </si>
  <si>
    <t>Year-round records of bulk and size-segregated aerosol composition and HCl and HNO3 levels in the Dumont d'Urville (coastal Antarctica) atmosphere:: Implications for sea-salt aerosol fractionation in the winter and summer -: art. no. 4645</t>
  </si>
  <si>
    <t>sea-salt fractionation; Antartica; atmospheric HCl; non-sea-salt sulfate evaluation</t>
  </si>
  <si>
    <t>SULFATE AEROSOLS; METHANESULFONATE; CHEMISTRY; SNOW; DIMETHYLSULFOXIDE; EMISSIONS; REGIONS</t>
  </si>
  <si>
    <t>[1] Year-round composition of bulk and size-segregated aerosol was examined at a coastal Antarctic site (Dumont d'Urville). Sea-salt particles display a summer depletion of chloride relative to sodium, which reaches similar to10%. The mass chloride loss is maximum on 1- to 3-mum-diameter particles, nitrate being often the anion causing the chloride loss. The summer SO42-/Na+ ratio exceeds the seawater value on submicron particles due to biogenic sulfate and on coarse particles due to ornithogenic (guano-enriched soils) sulfate and to heterogeneous uptake of SO2 (or H2SO4). HCl levels range from 47 +/- 28 ng m(-3) in the winter to 130 +/- 110 ng m(-3) in the summer, being close to the mass chloride loss of sea- salt aerosols. In the winter, sea- salt particles exhibit Cl-/Na+ and SO42-/Na+ mass ratios of 1.9 +/- 0.1 and 0.13 +/- 0.04, respectively. Resulting from precipitation of mirabilite during freezing of seawater, this sulfate-depletion-relative sodium takes place from May to October. From March to April, warmer temperatures and/or smaller sea ice extent offshore the site limit the phenomenon. A range of 14-50 ng m(-3) of submicron sulfate is found, confirming the existence of nssSO(4)(2-) in the winter at a coastal Antarctic site, highest values being found in the winters of 1992-1994 due to the Pinatubo volcanic input. Apart from these three winters, nssSO(4)(2-) levels range between 15 and 30 ng m(-3), but its origin is still unclear (quasi-continuous SO2 emissions from the Mount Erebus volcano or local wintertime dimethyl sulfide [DMS] oxidation, in addition to long-range transported byproduct of DMS oxidation).</t>
  </si>
  <si>
    <t>CNRS, Lab Glaciol &amp; Geophys Environm, F-38402 St Martin Dheres, France</t>
  </si>
  <si>
    <t>Jourdain, B (corresponding author), CNRS, Lab Glaciol &amp; Geophys Environm, BP 96, F-38402 St Martin Dheres, France.</t>
  </si>
  <si>
    <t>legrand@lgge.obs.ujf-grenoble.fr</t>
  </si>
  <si>
    <t>Legrand, Michel/AAU-4678-2020</t>
  </si>
  <si>
    <t>D22</t>
  </si>
  <si>
    <t>10.1029/2002JD002471</t>
  </si>
  <si>
    <t>643NN</t>
  </si>
  <si>
    <t>WOS:000180867500045</t>
  </si>
  <si>
    <t>Souney, JM; Mayewski, PA; Goodwin, ID; Meeker, LD; Morgan, V; Curran, MAJ; van Ommen, TD; Palmer, AS</t>
  </si>
  <si>
    <t>A 700-year record of atmospheric circulation developed from the Law Dome ice core, East Antarctica</t>
  </si>
  <si>
    <t>SEA-LEVEL PRESSURE; SNOW ACCUMULATION; ION CHROMATOGRAPHY; HOLOCENE CLIMATE; NORTH-ATLANTIC; MAJOR IONS; GREENLAND; SUMMIT; VARIABILITY; AEROSOL</t>
  </si>
  <si>
    <t>A 700-year, high-resolution, multivariate ice core record from Dome Summit South (DSS) (66degrees46'S, 112degrees48'E; 1370 m), Law Dome, is used to investigate sea level pressure (SLP) variability in the region of East Antarctica. Empirical orthogonal function (EOF) analysis reveals that the first EOF (LDEOF1) of the combined glaciochemical, oxygen isotope ratio, and accumulation rate record from DSS represents most of the variability in sea salt seen in the record. LDEOF1 is positively correlated (at least 95% confidence level) to instrumental June mean SLP across most of East Antarctica. Over the last 700 years, LDEOF1 levels at Law Dome were the highest during the nineteenth century, suggesting an increase in intensification of winter circulation during this period. The Law Dome DSS oxygen isotope ratio series also indicates that the nineteenth century had the coldest winters of any century in the record. In contrast, LDEOF1 levels were the lowest at Law Dome during the eighteenth century, suggesting a significant shift in the patterns and/or intensity of East Antarctic atmospheric circulation between the eighteenth and the nineteenth centuries. The LDEOF1 sea salt record is characterized by significant decadal-scale variability with a strong 25-year periodic structure.</t>
  </si>
  <si>
    <t>Univ New Hampshire, Inst Study Earth Oceans &amp; Space, Climate Change Res Ctr, Durham, NH 03824 USA; Univ New Hampshire, Dept Earth Sci, Durham, NH 03824 USA; Univ Maine, Inst Quaternay &amp; Climate Studies, Orono, ME 04469 USA; Univ Maine, Dept Geol Sci, Orono, ME 04469 USA; Univ Newcastle, Sch Environm &amp; Life Sci, Environm Geosci Grp, Newcastle, NSW 2308, Australia; Antarctic CRC, Hobart, Tas, Australia; Australian Antarctic Div, Hobart, Tas, Australia; Univ Tasmania, Inst Antarctic &amp; So Ocean Studies, Hobart, Tas 7001, Australia</t>
  </si>
  <si>
    <t>University System Of New Hampshire; University of New Hampshire; University System Of New Hampshire; University of New Hampshire; University of Maine System; University of Maine Orono; University of Maine System; University of Maine Orono; University of Newcastle; Australian Antarctic Division; University of Tasmania</t>
  </si>
  <si>
    <t>Joesouney@aol.com</t>
  </si>
  <si>
    <t>Mayewski, Paul Andrew/HRD-6969-2023; van Ommen, Tas/B-5020-2012</t>
  </si>
  <si>
    <t>Souney, Joseph/0000-0002-1492-6432; van Ommen, Tas/0000-0002-2463-1718; Goodwin, Ian/0000-0001-8682-6409</t>
  </si>
  <si>
    <t>10.1029/2002JD002104</t>
  </si>
  <si>
    <t>WOS:000180867500006</t>
  </si>
  <si>
    <t>Steele, HM; Lumpe, JD; Bevilacqua, RM; Hoppel, KW; Turco, RP</t>
  </si>
  <si>
    <t>Role of temperature history in polar stratospheric cloud sightings</t>
  </si>
  <si>
    <t>NITRIC-ACID TRIHYDRATE; POAM-II; ARCTIC STRATOSPHERE; SULFATE AEROSOLS; WATER-UPTAKE; SAGE-II; OZONE; GROWTH; HNO3; DROPLETS</t>
  </si>
  <si>
    <t>In this paper, aerosol data from the Polar Ozone and Aerosol Measurement (POAM) satellites between 1994 and 1998 are used to explore the existence of polar stratospheric clouds (PSCs) in the Antarctic winter stratosphere. Multiwavelength aerosol extinction data are combined to yield aerosol volume density which is compared with that generated from theoretical equilibrium models for nitric acid trihydrate (NAT) particles and supercooled ternary solution (STS) droplets at 30 mb. As winter progresses, PSC volume falls, a strong indication of stratospheric denitrification or dehydration. Six-day isentropic back trajectories are generated from each of the POAM observation locations and are used to examine the recent temperature history of the aerosols. Statistical studies are carried out using multiple regression to determine whether temperature history plays a role in NAT cloud formation. We are unable to identify any factors which unquestionably affect the formation of PSCs at and just below the NAT condensation temperature, although the probability of PSC occurrence at this temperature is higher in air that had previously been colder. There is no significant evidence found for preferential cloud occurrence based upon the length of time that the aerosols were below the NAT condensation point. We conclude from this study that factors, other than temperature and temperature history, are partially responsible for the formation of NAT PSCs.</t>
  </si>
  <si>
    <t>Calif State Univ Northridge, Dept Geog, Northridge, CA 91330 USA; Computat Phys Inc, Springfield, VA 22151 USA; USN, Res Lab, Washington, DC 20375 USA; Univ Calif Los Angeles, Dept Atmospher Sci, Los Angeles, CA 90095 USA</t>
  </si>
  <si>
    <t>California State University System; California State University Northridge; Computational Physics Inc; United States Department of Defense; United States Navy; Naval Research Laboratory; University of California System; University of California Los Angeles</t>
  </si>
  <si>
    <t>Steele, HM (corresponding author), Calif State Univ Northridge, Dept Geog, Northridge, CA 91330 USA.</t>
  </si>
  <si>
    <t>helen.m.cox@csun.edu</t>
  </si>
  <si>
    <t>10.1029/2001JD001261</t>
  </si>
  <si>
    <t>WOS:000180867500016</t>
  </si>
  <si>
    <t>Xie, ZQ; Sun, LG; Wang, JJ; Liu, BZ</t>
  </si>
  <si>
    <t>A potential source of atmospheric sulfur from penguin colony emissions</t>
  </si>
  <si>
    <t>sulfur; penguin; Antarctic(a)</t>
  </si>
  <si>
    <t>SEA-SALT-SULFATE; SOLID-PHASE MICROEXTRACTION; COASTAL ANTARCTIC AEROSOL; DIMETHYL SULFIDE; PACIFIC-OCEAN; METHANESULFONATE; CLIMATE; NITROGEN; MAWSON; SOILS</t>
  </si>
  <si>
    <t>Samples of fresh penguin excrements and lake sediments composed of aged penguin excrements were collected on an Antarctic Peninsula island. Gases emitted from these samples were collected and analyzed for volatile organosulfur compounds. No dimethyl sulfide (DMS) was found. However, dimethyl trisulfide (DMTS), dimethyl tetrasulfide (DMTTS), and dimethyl pentasulfide (DMPS) were found among the numerous organic compounds emitted from fresh penguin droppings. These sulfur compounds account for as mush as 13.5% of the emitted gases, but they have not been reported previously in atmospheric gases and therefore may represent a hitherto undetected source of atmospheric sulfur. To evaluate the potential contribution of this non-DMS biogenic source to the atmospheric sulfur reservoir at high southern latitudes, measurements of various chemical species in aerosols at several coastal Antarctic locations were analyzed and compared. The locations include Zhongshan Station (China) and Dumont D'Urville (France) in east Antarctica. Tentative calculations based on assumptions of similar aerosol sources and composition at these locations show that in areas downwind from large penguin colonies up to 5.5x10(5) nmol m(-3) sulfur may be attributed to penguin emissions on a per-penguin basis. Depending on the size of penguin population at a given location, sulfur from this non-DMS source may account for 5-15% of the total non-seasalt (nss) sulfur in these areas. Such high contributions may significantly impact the atmospheric sulfur burden and alter the sulfur budget in the high southern latitudes.</t>
  </si>
  <si>
    <t>Univ Sci &amp; Technol China, Inst Polar Environm, Anhua 230026, Peoples R China; Univ Sci &amp; Technol China, Tobacco Sci &amp; Technol Res Ctr, Anhua 230026, Peoples R China</t>
  </si>
  <si>
    <t>Chinese Academy of Sciences; University of Science &amp; Technology of China, CAS; Chinese Academy of Sciences; University of Science &amp; Technology of China, CAS</t>
  </si>
  <si>
    <t>Univ Sci &amp; Technol China, Inst Polar Environm, Anhua 230026, Peoples R China.</t>
  </si>
  <si>
    <t>slg@ustc.edu.cn</t>
  </si>
  <si>
    <t>xie, zhouqing/P-9661-2019</t>
  </si>
  <si>
    <t>10.1029/2002JD002114</t>
  </si>
  <si>
    <t>WOS:000180867500015</t>
  </si>
  <si>
    <t>Hohmann, R; Schlosser, P; Jacobs, S; Ludin, A; Weppernig, R</t>
  </si>
  <si>
    <t>Excess helium and neon in the southeast Pacific: Tracers for glacial meltwater</t>
  </si>
  <si>
    <t>DEEP-WATER FORMATION; ANTARCTIC ICE-SHEET; WEDDELL SEA; TRITIUM; CIRCULATION; GASES</t>
  </si>
  <si>
    <t>[1] We analyze helium (He) and neon (Ne) isotope data sets from the southeast Pacific sector of the Southern Ocean collected in 1992 and 1994 and describe a new method to estimate glacial meltwater fluxes independent of previous approaches. The waters sampled during these cruises reveal large atmospheric He and Ne excess concentrations in the upper 500 m that are derived predominantly from the dissolution of air contained in glacial ice during melting underneath and at the front of floating ice shelves at elevated hydrostatic pressure. On the stations sampled, the meltwater fractions are largest near the northern and southern ice shelf fronts of George VI Ice Shelf (1.5-2.5%), consistent with prior inferences from delta(18)O. The inventories of He-4 and Ne with local glacial meltwater origin south of 70degreesS between 210degreesE and 295degreesE are (2.5 +/- 0.7) 10(11) cm(3) STP He-4 and (7.9 +/- 2.7) 10(11) cm(3) STP Ne, respectively. The associated meltwater volumes are 430 +/- 120 Gt for He-4 and 400 +/- 140 Gt for Ne. For an estimated seawater residence time of 2 years on the continental shelf, the amounts of glacial meltwater translate into bulk melting rates of 215 +/- 170 Gt yr(-1) for He-4 and 200 +/- 170 Gt yr(-1) for Ne. The values derived from He-4 are expected to be larger than those obtained from Ne because of the terrigenic He component, which accounts for 10-15% of the He excess in this region. Our regional melting rate of 200-215 Gt yr(-1) is comparable to a prior estimate but subject to uncertainties resulting from the station distribution, the air-sea gas exchange, and the estimate of the net transport through the study region.</t>
  </si>
  <si>
    <t>Columbia Univ, Lamont Doherty Earth Observ, Palisades, NY 10964 USA; Columbia Univ, Dept Earth &amp; Environm Sci, New York, NY USA; Columbia Univ, Dept Earth &amp; Environm Engn, New York, NY USA</t>
  </si>
  <si>
    <t>Columbia University; Columbia University; Columbia University</t>
  </si>
  <si>
    <t>Columbia Univ, Lamont Doherty Earth Observ, Route 9W, Palisades, NY 10964 USA.</t>
  </si>
  <si>
    <t>hohmann@ldeo.Columbia.edu; jgr_ps@ldeo.columbia.edu; sjacobs@ldeo.columbia.edu; andrea.ludin@enotrac.com; ralf.weppernig@Zurich.com</t>
  </si>
  <si>
    <t>Schlosser, Peter/C-6416-2012</t>
  </si>
  <si>
    <t>C11</t>
  </si>
  <si>
    <t>10.1029/2000JC000378</t>
  </si>
  <si>
    <t>638KP</t>
  </si>
  <si>
    <t>WOS:000180570400019</t>
  </si>
  <si>
    <t>Joughin, I; Tulaczyk, S; Bindschadler, R; Price, SF</t>
  </si>
  <si>
    <t>Changes in west Antarctic ice stream velocities: Observation and analysis</t>
  </si>
  <si>
    <t>ice streams; ice sheets; Synthetic aperture Radar Interferometry (InSAR); glaciology; Antarctica</t>
  </si>
  <si>
    <t>MASS-BALANCE; SUBGLACIAL GEOLOGY; MARGIN MIGRATION; BASAL MECHANICS; SHEET SYSTEM; FLOW; RADAR; ELEVATION; FLUCTUATIONS; TRIBUTARIES</t>
  </si>
  <si>
    <t>[1] We have produced a map of velocity covering much of the Siple Coast ice streams. The map confirms earlier estimates of deceleration on Whillans Ice Stream. Comparison with bed elevation data indicates that subglacial topography and the location of consolidated sediment play a strong role in determining the location of the tributaries feeding the ice streams. Force balance estimates based on these data indicate that the tributaries have beds nearly an order of magnitude stronger than those beneath many of the ice streams. We have used a theoretical analysis to examine the controls on fast flow. This analysis suggests that ice plains (very wide ice streams) are inherently unstable. This instability may be responsible for the current deceleration on the Ice Plain of Whillans Ice Stream and the shutdown of Ice Stream C 150 years ago. Thinning-induced reductions indriving stress may also explain some of the observed deceleration, particularly in upstream areas. The active portions of Ice Stream C coincide well with the areas where we estimate that melt should be taking place. Current topography and inferences of large thickening following a shutdown suggest the upstream migration of a stagnation front that initiated at the ice plain. Uncertainty remains about the basal conditions on Ice Stream D, while the basal resistance on Ice Stream E is large enough to ensure basal melting.</t>
  </si>
  <si>
    <t>CALTECH, Jet Prop Lab, Pasadena, CA 91109 USA; Univ Calif Santa Cruz, Dept Earth Sci, Santa Cruz, CA 95064 USA; NASA, Goddard Space Flight Ctr, Greenbelt, MD 20771 USA; Univ Washington, Dept Earth &amp; Space Sci, Seattle, WA 98195 USA</t>
  </si>
  <si>
    <t>California Institute of Technology; National Aeronautics &amp; Space Administration (NASA); NASA Jet Propulsion Laboratory (JPL); University of California System; University of California Santa Cruz; National Aeronautics &amp; Space Administration (NASA); NASA Goddard Space Flight Center; University of Washington; University of Washington Seattle</t>
  </si>
  <si>
    <t>CALTECH, Jet Prop Lab, M-S 300-235,4800 Oak Grove Dr, Pasadena, CA 91109 USA.</t>
  </si>
  <si>
    <t>ian@radar-sci.jpl.nasa.gov; tulaczyk@es.ucsc.edu; bob@igloo.gsfc.nasa.gov; sprice@geophys.washington.edu</t>
  </si>
  <si>
    <t>Joughin, Ian R/A-2998-2008; Joughin, Ian/AAR-7778-2021; Tulaczyk, Slawek/O-7375-2018; Price, Stephen/E-1568-2013</t>
  </si>
  <si>
    <t>Joughin, Ian R/0000-0001-6229-679X; Joughin, Ian/0000-0001-6229-679X; Tulaczyk, Slawek/0000-0002-9711-4332; Price, Stephen/0000-0001-6878-2553</t>
  </si>
  <si>
    <t>10.1029/2001JB001029</t>
  </si>
  <si>
    <t>637RR</t>
  </si>
  <si>
    <t>WOS:000180527200024</t>
  </si>
  <si>
    <t>Wu, XP; Watkins, MM; Ivins, ER; Kwok, R; Wang, P; Wahr, JM</t>
  </si>
  <si>
    <t>Toward global inverse solutions for current and past ice mass variations: Contribution of secular satellite gravity and topography change measurements</t>
  </si>
  <si>
    <t>gravity; inverse; ice; rebound; GRACE; sea level</t>
  </si>
  <si>
    <t>GLACIAL-ISOSTATIC-ADJUSTMENT; DEEP MANTLE VISCOSITY; PLEISTOCENE DEGLACIATION; ELEVATION CHANGE; POLAR ICE; SHEET; BALANCE; GRACE; EARTH; PREDICTIONS</t>
  </si>
  <si>
    <t>[1] We investigate the accuracy and resolution of estimating global ice mass variations using secular gravity and ice elevation change observations by the planned Gravity Recovery and Climate Experiment (GRACE) and ICESat missions. The gravity and altimetry data combination can determine the total bedrock uplift rate with root-mean-square (RMS) errors of 0.2-1.3 mm/yr when Gaussian averaged over a half scale of 250 km. Moreover, covariance analyses indicate that the mean snow compaction error can be constrained to the level of 3 mm/yr in equivalent Antarctic ice thickness change. The mean Antarctic present-day ice mass change could then be determined to about 4 mm/yr. For a known viscosity profile, such data sets provide a spatial estimate of a linear combination of the late Pleistocene deglaciation and a more recent past trend (last few thousand years) in the Greenland and Antarctica mass balance. For example, when the linear rate of the recent past trend is estimated solely for ice history, the RMS errors of the 450-km Gaussian averages range between 1 and 3 cm/yr. Although contaminated by the signature of present-day hydrological variations over the deglaciated areas, the 450-km Gaussian-averaged Last Glacial Maximum height of the ancient ice sheets can be determined to a RMS level of 300 m. The mean recovery errors are less than 100 m. However, the gravity/altimeter data cannot resolve the load history and lower mantle viscosity simultaneously. Additional data such as relative sea level records must be invoked to overcome this difficulty.</t>
  </si>
  <si>
    <t>CALTECH, Jet Prop Lab, Pasadena, CA 91109 USA; Univ Colorado, Dept Phys, Boulder, CO 80309 USA; Univ Colorado, CIRES, Boulder, CO 80309 USA</t>
  </si>
  <si>
    <t>California Institute of Technology; National Aeronautics &amp; Space Administration (NASA); NASA Jet Propulsion Laboratory (JPL); University of Colorado System; University of Colorado Boulder; University of Colorado System; University of Colorado Boulder</t>
  </si>
  <si>
    <t>CALTECH, Jet Prop Lab, 4800 Oak Grove Dr,MS 238-600, Pasadena, CA 91109 USA.</t>
  </si>
  <si>
    <t>Xiaoping.Wu@jpl.nasa.gov; mmw@cobra.jpl.nasa.gov; eri@scn1.jpl.nasa.gov; ron@radar-sci.jpl.nasa.gov; wangp@azalea.jpl.nasa.gov; wahr@longo.colorado.edu</t>
  </si>
  <si>
    <t>Kwok, Ron/A-9762-2008; Kwok, Ronald/L-3968-2019; Ivins, Erik R/C-2416-2011</t>
  </si>
  <si>
    <t>Kwok, Ron/0000-0003-4051-5896; Kwok, Ronald/0000-0003-4051-5896;</t>
  </si>
  <si>
    <t>10.1029/2001JB000543</t>
  </si>
  <si>
    <t>WOS:000180527200026</t>
  </si>
  <si>
    <t>Statistical distributions of field-aligned electron events in the near-equatorial magnetosphere observed by the Low Energy Plasma Analyzer on CRRES</t>
  </si>
  <si>
    <t>substorms; field-aligned electron distributions; inner magnetosphere; bidirectional electrons</t>
  </si>
  <si>
    <t>SUBSTORM ONSETS; POLAR RAIN; COUNTERSTREAMING ELECTRONS; BIRKELAND CURRENTS; HIGH-ALTITUDES; DISTANT TAIL; AUGUST 18; BEAMS; TEMPERATURE; SPACECRAFT</t>
  </si>
  <si>
    <t>[1] Low energy (less than or equal to100 eV-10 keV) field-aligned electrons are often observed by the Low Energy Plasma Analyzer (LEPA) on the CRRES satellite. These electrons usually occur in bursts of &lt;10 min duration and are mostly bidirectional, though opposing fluxes are not always equal. The events can be seen from L-values of 5 outward (to at least L = 7) and from 0800 magnetic local time (MLT) through midnight to 1400 MLT. Larger numbers of events were seen at the outer edge of CRRES' coverage and in the evening and early morning sectors, when the apogee of CRRES was at higher latitudes. The bursts normally occur within 20 min of substorm onset. High-latitude, low-altitude spacecraft often observe upgoing field-aligned electron beams. We suggest that these are the source of the field-aligned electron beams seen by CRRES near the equator.</t>
  </si>
  <si>
    <t>A11</t>
  </si>
  <si>
    <t>10.1029/2001JA005073</t>
  </si>
  <si>
    <t>634UU</t>
  </si>
  <si>
    <t>WOS:000180360500060</t>
  </si>
  <si>
    <t>Wang, WH; Li, F; Alam, N; Liu, YH; Hong, JK; Lee, CK; Im, KS; Jung, JH</t>
  </si>
  <si>
    <t>New saponins from the starfish Certonardoa semiregularis</t>
  </si>
  <si>
    <t>JOURNAL OF NATURAL PRODUCTS</t>
  </si>
  <si>
    <t>MAGNETIC-RESONANCE SPECTRA; STEROIDAL GLYCOSIDES; ANTARCTIC STARFISH; STRUCTURE ELUCIDATION; BIOLOGICAL-ACTIVITY; POLYHYDROXYSTEROIDS; OLIGOGLYCOSIDES; CONSTITUENTS</t>
  </si>
  <si>
    <t>Ten new saponins designated as certonardosides A-J (1-5, 7-11) and the known halityloside D (6) were isolated from the brine shrimp active fraction of the MeOH extract of the starfish Certonardoa semiregularis. The structures were determined on the basis of spectral analysis and chemical manipulation. The compounds were evaluated for antiviral activity against HIV, HSV, CoxB, EMCV, and VSV and displayed insignificant activity within the range of noncytotoxic concentrations.</t>
  </si>
  <si>
    <t>Pusan Natl Univ, Coll Pharm, Pusan 609735, South Korea; Inst for Basic Sci, Seoul, South Korea; Shenyang Pharmaceut Univ, Shenyang, Peoples R China; Korea Res Inst Chem Technol, Pharmaceut Screening Ctr, Taejon, South Korea</t>
  </si>
  <si>
    <t>Pusan National University; Institute for Basic Science - Korea (IBS); Shenyang Pharmaceutical University; Korea Research Institute of Chemical Technology (KRICT)</t>
  </si>
  <si>
    <t>Jung, JH (corresponding author), Pusan Natl Univ, Coll Pharm, Pusan 609735, South Korea.</t>
  </si>
  <si>
    <t>jhjung@pusan.ac.kr</t>
  </si>
  <si>
    <t>Liu, Yonghong/E-3118-2014</t>
  </si>
  <si>
    <t>Liu, Yonghong/0000-0001-8327-3108</t>
  </si>
  <si>
    <t>0163-3864</t>
  </si>
  <si>
    <t>1520-6025</t>
  </si>
  <si>
    <t>J NAT PROD</t>
  </si>
  <si>
    <t>J. Nat. Prod.</t>
  </si>
  <si>
    <t>10.1021/np020234r</t>
  </si>
  <si>
    <t>Plant Sciences; Chemistry, Medicinal; Pharmacology &amp; Pharmacy</t>
  </si>
  <si>
    <t>Plant Sciences; Pharmacology &amp; Pharmacy</t>
  </si>
  <si>
    <t>618AK</t>
  </si>
  <si>
    <t>WOS:000179394400024</t>
  </si>
  <si>
    <t>Karstensen, J; Quadfasel, D</t>
  </si>
  <si>
    <t>Formation of southern hemisphere thermocline waters: Water mass conversion and subduction</t>
  </si>
  <si>
    <t>ANTARCTIC INTERMEDIATE WATER; WIND-DRIVEN CIRCULATION; NORTH-ATLANTIC; NCEP-NCAR; DECADAL CHANGES; WORLD OCEAN; PACIFIC; MODE; HEAT; FLUXES</t>
  </si>
  <si>
    <t>The ventilation of the permanent thermocline of the Southern Hemisphere gyres is quantified using climatological and synoptic observational data. Ventilation is estimated with three independent methods: the kinematic method provides subduction rates from the vertical and horizontal fluxes through the base of the mixed layer, the water age uses in situ age distribution of thermocline waters, and the annual-mean water mass formation through air-sea interaction is calculated. All three independent estimates agree within their error bars, which are admittedly large. The subduction rates are mainly controlled through their vertical and lateral components with only minor transient eddy contributions. The vertical transfer, derived from Ekman pumping, ventilates over most of the areas of the subtropical gyres, while lateral transfer occurs mainly along the Subtropical and Subantarctic Fronts, where it injects mode and intermediate waters. For the permanent thermocline the overall ventilation of the South Atlantic is about 21 Sv (Sv = 10(6) m(3) s(-1)). Of this, lateral transfer contributes 10 Sv, mainly in the Brazil-Malvinas confluence zone and to the northeast of Drake Passage. The effective vertical transfer at the bottom of the mixed layer is only two-thirds of the Ekman pumping due to strong northward forcing of the mixed layer itself. The Indian Ocean is ventilated at a rate of 35 Sv with equal lateral and vertical contributions. The South Pacific's overall ventilation is 44 Sv of which the lateral input contributes little more than half. West of 130degreesW, the South Pacific is ventilated through Ekman pumping and with only minor lateral transfer. In the east lateral transfer dominates between 10degrees and 20degreesS and along the Subantarctic Front in a narrow density range. Combining overall transports with earlier estimates for the Northern Hemisphere gives a ventilation of the World Ocean's permanent thermocline of about 160 Sv. Analysis of atmospheric reanalysis air-sea flux data reveals an overall increase in the formation of thermocline waters for all three Southern Hemisphere oceans.</t>
  </si>
  <si>
    <t>Columbia Univ, Lamont Doherty Earth Observ, Palisades, NY USA; Univ Copenhagen, Niels Bohr Inst Astron Fys &amp; Geofys, Geofys Afdeling, Copenhagen, Denmark; Univ Copenhagen, Ctr Jordens Klima &amp; Biogeokem Kredslob, Copenhagen, Denmark</t>
  </si>
  <si>
    <t>Columbia University; University of Copenhagen; Niels Bohr Institute; University of Copenhagen</t>
  </si>
  <si>
    <t>Univ Concepcion, PROFC, Casilla 160-C, Concepcion 3, Chile.</t>
  </si>
  <si>
    <t>j.karstensen@omnet.com</t>
  </si>
  <si>
    <t>Karstensen, Johannes/A-8534-2013</t>
  </si>
  <si>
    <t>Karstensen, Johannes/0000-0001-5044-7079</t>
  </si>
  <si>
    <t>10.1175/1520-0485(2002)032&lt;3020:FOSHTW&gt;2.0.CO;2</t>
  </si>
  <si>
    <t>608FD</t>
  </si>
  <si>
    <t>WOS:000178834000004</t>
  </si>
  <si>
    <t>Tilburg, CE; Hurlburt, HE; O'Brien, JJ; Shriver, JF</t>
  </si>
  <si>
    <t>Remote topographic forcing of a baroclinic western boundary current: An explanation for the Southland Current and the pathway of the subtropical front east of New Zealand</t>
  </si>
  <si>
    <t>ANTARCTIC CIRCUMPOLAR CURRENT; 1/64-DEGREES RESOLUTION; KUROSHIO EXTENSION; CURRENT SYSTEM; PACIFIC-OCEAN; MODEL; SEA; VARIABILITY; DYNAMICS; 1/8-DEGREES</t>
  </si>
  <si>
    <t>The Southland Current is a western boundary current adjacent to the South Island of New Zealand and flows along a segment of the Southern Hemisphere subtropical front (STF). The physical mechanisms that govern the behavior of this current and other portions of the STF and subantarctic front (SAF) are investigated using one regional and three global ocean simulations. The three global ocean simulations used in this study are a 1 1/2-layer reduced-gravity linear simulation, a six-layer nonlinear flat-bottom simulation, and a six-layer nonlinear simulation that incorporates vertically compressed, but otherwise realistic, bottom topography confined to the abyssal layer. All three simulations have horizontal spacings of 1/8degrees and are forced with climatological-mean monthly wind stress data. The regional simulation has a horizontal spacing of 1/2degrees and contains two layers, with an idealized bottom topography. The only forcing is supplied by inflow and outflow ports. The pathway of the SAF is shown to be strongly influenced by a barotropic response of the associated flow to bottom topography. Currents associated with the SAF flow along the southern edge of the Campbell Plateau, a large submarine platform southeast of New Zealand. In contrast, the location of the Southland Current and the pathway of the STF east of New Zealand are due to remote forcing of upper-ocean currents by topographically constrained abyssal currents. Whereas most western boundary currents can be described as responses of the ocean to interior Sverdrup flow with some modification, analysis of the numerical simulations within this study shows that the Southland Current is due to a completely different formation mechanism. The presence of the Southland Current and the STF east of New Zealand are instead due to a combination of northward topographic steering of surface-layer thickness gradients approximately 128 east of New Zealand and westward propagation of these perturbed gradients. A portion of the abyssal flow associated with the SAF is shown to form a topographically constrained deep western boundary current (DWBC). This DWBC follows the edge of the Campbell Plateau, eventually flowing generally northward. When the surface zonal flow associated with the STF southeast of New Zealand encounters this meridional abyssal flow, it is advected northward, creating an imbalance in the potential vorticity within the flow. In an attempt to conserve potential vorticity, the perturbed surface-layer thickness gradients propagate westward until they encounter New Zealand's South Island, at which point they form the observed Southland Current. Transport associated with the STF thus flows northward along South Island, eastward along the Chatham Rise, and southward once east of the rise. This formation mechanism and the downstream behavior of the STF are illustrated in a simplified regional simulation that reproduces the pathway of the STF and the location of the western boundary current extremely well.</t>
  </si>
  <si>
    <t>Florida State Univ, Ctr Ocean Atmospher Predict Studies, Tallahassee, FL 32306 USA; NASA, Naval Res Lab, John C Stennis Space Ctr, Stennis Space Ctr, MS USA</t>
  </si>
  <si>
    <t>State University System of Florida; Florida State University; National Aeronautics &amp; Space Administration (NASA); United States Department of Defense; United States Navy; Naval Research Laboratory</t>
  </si>
  <si>
    <t>Tilburg, CE (corresponding author), Univ Delaware, Grad Coll Marine Studies, Phys Ocean Sci &amp; Engn Program, 102 Robinson Hall, Newark, DE 19716 USA.</t>
  </si>
  <si>
    <t>Shriver, Jay/0000-0001-7154-4257</t>
  </si>
  <si>
    <t>10.1175/1520-0485(2002)032&lt;3216:RTFOAB&gt;2.0.CO;2</t>
  </si>
  <si>
    <t>WOS:000178834000017</t>
  </si>
  <si>
    <t>Harris, PT; Heap, AD; Bryce, SM; Porter-Smith, R; Ryan, DA; Heggie, DT</t>
  </si>
  <si>
    <t>Classification of Australian clastic coastal depositional environments based upon a quantitative analysis of wave, tidal, and river power</t>
  </si>
  <si>
    <t>JOURNAL OF SEDIMENTARY RESEARCH</t>
  </si>
  <si>
    <t>NORTHEAST ATLANTIC; ESTUARINE FACIES; BARRIER; DELTA; MODEL; GULF; TRANSPORT; SEDIMENTATION; CARPENTARIA; EVOLUTION</t>
  </si>
  <si>
    <t>A statistical assessment of wave, tide, and river power was carried out using a database of 721 Australian elastic coastal depositional environments to test whether their geomorphology could be predicted from numerical values. The geomorphic classification of each environment (wave- and tide-dominated deltas, wave- and fide-dominated estuaries, lagoons, strand plains, and tidal flats) was established independently from remotely sensed imagery. To our knowledge, such a systematic numerical analysis has not been previously attempted for any region on earth. The results of our analysis indicate that a relationship exists between the ratio of annual mean wave power to mean tidal power and the geomorphic development of clastic coastal depositional environments. Deltas and estuaries are associated with statistically significant differences in mean wave and tidal power. Statistically significant distinctions between populations of deltas, estuaries, strand plains, and tidal flats are also associated with river discharge and river flow rate (defined as discharge divided by open water area). Our results support the hypotheses of previous workers that wave, tide, and river power exert the principal control over the gross geomorphology and facies distribution patterns in clastic coastal depositional environments. Mean values and confidence limits of wave power, tide power, and river flow for the coastal depositional environments targeted in this study may provide a basis for the comparison of modern environments as well as constraints for paleo-reconstructions.</t>
  </si>
  <si>
    <t>Univ Tasmania, CRC, Geosci Australia &amp; Antarctic, Hobart, Tas 7001, Australia; Univ Tasmania, Sch Geog &amp; Environm Studies, Hobart, Tas 7001, Australia; Geosci Australia, Canberra, ACT 2601, Australia</t>
  </si>
  <si>
    <t>University of Tasmania; University of Tasmania; Geoscience Australia</t>
  </si>
  <si>
    <t>Univ Tasmania, CRC, Geosci Australia &amp; Antarctic, GPOB 252-80, Hobart, Tas 7001, Australia.</t>
  </si>
  <si>
    <t>P.Harris@utas.edu.au</t>
  </si>
  <si>
    <t>Harris, Peter T/C-6997-2009; Harris, Peter/AAI-7100-2020; Smith, Rick/E-4801-2013</t>
  </si>
  <si>
    <t>SEPM-SOC SEDIMENTARY GEOLOGY</t>
  </si>
  <si>
    <t>TULSA</t>
  </si>
  <si>
    <t>6128 EAST 38TH ST, STE 308, TULSA, OK 74135-5814 USA</t>
  </si>
  <si>
    <t>1527-1404</t>
  </si>
  <si>
    <t>1938-3681</t>
  </si>
  <si>
    <t>J SEDIMENT RES</t>
  </si>
  <si>
    <t>J. Sediment. Res.</t>
  </si>
  <si>
    <t>10.1306/040902720858</t>
  </si>
  <si>
    <t>643YX</t>
  </si>
  <si>
    <t>WOS:000180892100009</t>
  </si>
  <si>
    <t>van den Broeke, MR; van Lipzig, NPM; van Meijgaard, E</t>
  </si>
  <si>
    <t>Momentum budget of the East Antarctic atmospheric boundary layer: Results of a regional climate model</t>
  </si>
  <si>
    <t>JOURNAL OF THE ATMOSPHERIC SCIENCES</t>
  </si>
  <si>
    <t>KATABATIC WINDS; WEST ANTARCTICA; SIPLE COAST; ADELIE LAND; ICE SHELF; MAUD-LAND; CIRCULATION; REANALYSIS; FLOWS; ZONE</t>
  </si>
  <si>
    <t>Output of a regional atmospheric climate model is used to quantify the average January and July momentum budget of the atmospheric boundary layer (ABL) over the East Antarctic ice sheet and the surrounding oceans. Results are binned in nine elevation intervals over the ice sheet and six distance intervals over the ocean. In January, when surface cooling is weak, the large-scale pressure gradient force dominates the ABL momentum budget. In July, under conditions of strong surface cooling, a shallow katabatic jet develops over the gentle slopes of the interior ice sheet and a strong, deep jet over the steep coastal slopes. In the coastal regions the ABL thickens considerably, caused by the piling up of cold air over the adjacent sea ice and ice shelves. This represents the main opposing force for the katabatic winds. Horizontal and vertical advection are generally small. In the cross-slope direction the momentum budget represents a simple balance between surface drag and Coriolis turning. Intraseasonal variability of the large-scale wind field in the ABL can be explained in terms of the strength of the polar vortex, the background baroclinicity, and the topography of the ice sheet. Subsidence is found over the interior ice sheet and rising motion in the coastal zone, reflecting the acceleration and deceleration of the katabatic circulation. However, vertical velocities are generally small, because the downslope mass flux in the ABL is confined to a shallow layer below the wind speed maximum.</t>
  </si>
  <si>
    <t>Univ Utrecht, Inst Marine &amp; Atmospher Res, IMAU, NL-3508 TA Utrecht, Netherlands</t>
  </si>
  <si>
    <t>van den Broeke, MR (corresponding author), Univ Utrecht, Inst Marine &amp; Atmospher Res, IMAU, POB 80 005, NL-3508 TA Utrecht, Netherlands.</t>
  </si>
  <si>
    <t>van Lipzig, Nicole/ABF-2964-2021; Van den Broeke, Michiel R./F-7867-2011</t>
  </si>
  <si>
    <t>van Lipzig, Nicole/0000-0003-2899-4046; Van den Broeke, Michiel R./0000-0003-4662-7565</t>
  </si>
  <si>
    <t>0022-4928</t>
  </si>
  <si>
    <t>J ATMOS SCI</t>
  </si>
  <si>
    <t>J. Atmos. Sci.</t>
  </si>
  <si>
    <t>10.1175/1520-0469(2002)059&lt;3117:MBOTEA&gt;2.0.CO;2</t>
  </si>
  <si>
    <t>603TP</t>
  </si>
  <si>
    <t>WOS:000178576500007</t>
  </si>
  <si>
    <t>Carlson, JL</t>
  </si>
  <si>
    <t>Scott, Shackleton and Amundsen: Leadership, character and tragedy in the Antarctic.</t>
  </si>
  <si>
    <t>LIBRARY JOURNAL</t>
  </si>
  <si>
    <t>Allan Hancock Coll, Santa Maria, CA 93454 USA</t>
  </si>
  <si>
    <t>Carlson, JL (corresponding author), Allan Hancock Coll, Santa Maria, CA 93454 USA.</t>
  </si>
  <si>
    <t>BOWKER MAGAZINE GROUP CAHNERS MAGAZINE DIVISION</t>
  </si>
  <si>
    <t>249 W 17TH ST, NEW YORK, NY 10011 USA</t>
  </si>
  <si>
    <t>0363-0277</t>
  </si>
  <si>
    <t>LIBR J</t>
  </si>
  <si>
    <t>Libr. J.</t>
  </si>
  <si>
    <t>Information Science &amp; Library Science</t>
  </si>
  <si>
    <t>608ZN</t>
  </si>
  <si>
    <t>WOS:000178878100184</t>
  </si>
  <si>
    <t>Meyer, B; Saborowski, R; Atkinson, A; Buchholz, F; Bathmann, U</t>
  </si>
  <si>
    <t>Seasonal differences in citrate synthase and digestive enzyme activity in larval and postlarval Antarctic krill, Euphausia superba</t>
  </si>
  <si>
    <t>FEEDING-BEHAVIOR; METABOLIC-RATES; ENERGY BUDGETS; SOUTH GEORGIA; STOMACH; DANA; HEPATOPANCREAS; ZOOPLANKTON; PHYSIOLOGY; GROWTH</t>
  </si>
  <si>
    <t>Antarctic krill maintain large population sizes despite dramatic seasonal fluctuations in food availability, but the mechanisms for this are still debated. The aim of this study was to compare seasonal differences in enzyme activity and respiration rates of larval and postlarval krill to provide insights into their overwintering strategies. Respiration rates, activity of the metabolic enzyme citrate synthase (CS), and those of the digestive enzymes laminarinase and total proteinase were measured in austral summer west of the Antarctic Peninsula, and in autumn in the southwestern Lazarev Sea. The 100-fold difference in chlorophyll a concentrations between the two studies is representative of the classic transition from a summer bloom to sparse winter conditions. Correspondingly, adult krill showed reduced respiration rates and CS activity in autumn. However, their digestive enzyme activity was significantly higher, suggesting more efficient assimilation of food, at low food levels. Similar-sized larvae showed no summer-autumn differences in respiration rates and enzyme activity, supporting suggestions that they need to feed and grow year-round. However, trends in enzymatic activity varied between the larval stages measured, implying ontogenetic changes in body structure and function.</t>
  </si>
  <si>
    <t>Alfred Wegener Inst Polar &amp; Marine Res, Dept Pelag Ecosyst, D-25270 Bremerhaven, Germany; Alfred Wegener Inst Polar &amp; Marine Res, Biol Anstalt Helgoland, D-27498 Helgoland, Germany; British Antarctic Survey, NERC, Cambridge CB3 0ET, England</t>
  </si>
  <si>
    <t>Helmholtz Association; Alfred Wegener Institute, Helmholtz Centre for Polar &amp; Marine Research; Helmholtz Association; Alfred Wegener Institute, Helmholtz Centre for Polar &amp; Marine Research; UK Research &amp; Innovation (UKRI); Natural Environment Research Council (NERC); NERC British Antarctic Survey</t>
  </si>
  <si>
    <t>Alfred Wegener Inst Polar &amp; Marine Res, Dept Pelag Ecosyst, Handelshafen 12, D-25270 Bremerhaven, Germany.</t>
  </si>
  <si>
    <t>Meyer, Bettina/ABB-5311-2020; Bathmann, Ulrich/ISV-4351-2023; Atkinson, Angus/HOH-3417-2023</t>
  </si>
  <si>
    <t>Meyer, Bettina/0000-0001-6804-9896; Saborowski, Reinhard/0000-0003-0289-6501</t>
  </si>
  <si>
    <t>1432-1793</t>
  </si>
  <si>
    <t>10.1007/s00227-002-0877-7</t>
  </si>
  <si>
    <t>623EQ</t>
  </si>
  <si>
    <t>WOS:000179690700006</t>
  </si>
  <si>
    <t>Findlay, CS; Giraudeau, J</t>
  </si>
  <si>
    <t>Movement of oceanic fronts south of Australia during the last 10 ka: interpretation of calcareous nannoplankton in surface sediments from the Southern Ocean</t>
  </si>
  <si>
    <t>MARINE MICROPALEONTOLOGY</t>
  </si>
  <si>
    <t>calcareous nannoplankton; Holocene; palaeoceanography; Polar Front; Southern Ocean; surface sediments</t>
  </si>
  <si>
    <t>ANTARCTIC CIRCUMPOLAR CURRENT; NORWEGIAN GREENLAND SEA; NORTH-ATLANTIC OCEAN; LATE QUATERNARY; INDIAN-OCEAN; EMILIANIA-HUXLEYI; OXYGEN-ISOTOPES; TASMAN SEA; ASSEMBLAGES; COCCOLITH</t>
  </si>
  <si>
    <t>Preservation of calcareous nannoplankton in surface sediment samples from the Southern Ocean south of Australia and adjacent to New Zealand record a single assemblage. The dominant species are Emiliania huxleyi, Gephyrocapsa muellerae, Calcidiscus leptoporus, Helicosphaera carteri and Coccolithus pelagicus. The assemblage varies little in abundance and diversity with minor correlation to present-day overlying surface water masses and oceanic fronts. Increase in abundance of H. carteri and C pelagicus in the region of the Subtropical Front may reflect higher nutrients associated with this front. The assemblage, although altered by dissolution, represents a warmer climatic interval than present-day with the presence of preferentially dissolved, warm-water species preserved as far south as the Polar Front. The presence of warm-water species under sub-Antarctic waters at the Polar Front is interpreted as a relic population from the Holocene climatic optimum of 10-8 ka. The absence of coccoliths in sediments poleward of the Polar Front suggests an equatorward shift of this front following the climatic optimum, resulting in increased productivity of siliceous phytoplankton associated with the colder waters and increased dissolution of coccoliths. Movement of the Subtropical Front for the same interval is not recorded in the preserved coccoliths. The more heavily calcified form of E. huxleyi which dominates the living assemblage north of the Subtropical Front is subject to dissolution in this region and is poorly preserved in the sediment assemblage. (C) 2002 Elsevier Science B.V. All rights reserved.</t>
  </si>
  <si>
    <t>Nat Hist Museum, Dept Palaeontol, London SW7 5BD, England; Univ Bordeaux 1, UMR 5805 CNRS, Dept Geol &amp; Oceanog, F-33405 Talence, France</t>
  </si>
  <si>
    <t>Natural History Museum London; Centre National de la Recherche Scientifique (CNRS); Universite de Bordeaux; CNRS - National Institute for Earth Sciences &amp; Astronomy (INSU)</t>
  </si>
  <si>
    <t>Findlay, CS (corresponding author), Nat Hist Museum, Dept Palaeontol, Cromwell Rd, London SW7 5BD, England.</t>
  </si>
  <si>
    <t>claire_findlay@hotmail.com; giraudeau@geocean.u-bordeaux.fr</t>
  </si>
  <si>
    <t>Giraudeau, Jacques/AAF-5764-2019</t>
  </si>
  <si>
    <t>Giraudeau, Jacques/0000-0002-5069-4667</t>
  </si>
  <si>
    <t>0377-8398</t>
  </si>
  <si>
    <t>MAR MICROPALEONTOL</t>
  </si>
  <si>
    <t>Mar. Micropaleontol.</t>
  </si>
  <si>
    <t>PII S0377-8398(02)00084-1</t>
  </si>
  <si>
    <t>10.1016/S0377-8398(02)00084-1</t>
  </si>
  <si>
    <t>618RJ</t>
  </si>
  <si>
    <t>WOS:000179430800009</t>
  </si>
  <si>
    <t>Berrow, SD; Mchugh, B; Glynn, D; Mcgovern, E; Parsons, KM; Baird, RW; Hooker, SK</t>
  </si>
  <si>
    <t>Organochlorine concentrations in resident bottlenose dolphins (Tursiops truncatus) in the Shannon estuary, Ireland</t>
  </si>
  <si>
    <t>MARINE POLLUTION BULLETIN</t>
  </si>
  <si>
    <t>COASTAL WATERS; PHOCOENA-PHOCOENA; WHALES; TAG</t>
  </si>
  <si>
    <t>Merchants Quay Co, Shannon Dolphin &amp; Wildlife Fdn, Clare, Kilrush, Ireland; Inst Marine, Dublin 15, Ireland; Univ Aberdeen, Dept Zool, Aberdeen AB9 2TN, Scotland; Dalhousie Univ, Dept Biol, Halifax, NS B3M 4JI, Canada; British Antarctic Survey, Cambridge CB3 0ET, England</t>
  </si>
  <si>
    <t>Marine Institute Ireland; University of Aberdeen; Dalhousie University; UK Research &amp; Innovation (UKRI); Natural Environment Research Council (NERC); NERC British Antarctic Survey</t>
  </si>
  <si>
    <t>Merchants Quay Co, Shannon Dolphin &amp; Wildlife Fdn, Clare, Kilrush, Ireland.</t>
  </si>
  <si>
    <t>Parsons, Kim M/A-8050-2011; Baird, Robin William/Y-8230-2019; Hooker, Sascha K/J-3267-2013</t>
  </si>
  <si>
    <t>Baird, Robin William/0000-0002-9419-6336; McGovern, Evin/0000-0002-7565-0126; Hooker, Sascha/0000-0002-7518-3548</t>
  </si>
  <si>
    <t>0025-326X</t>
  </si>
  <si>
    <t>1879-3363</t>
  </si>
  <si>
    <t>MAR POLLUT BULL</t>
  </si>
  <si>
    <t>Mar. Pollut. Bull.</t>
  </si>
  <si>
    <t>PII S0025-326X(02)00215-1</t>
  </si>
  <si>
    <t>10.1016/S0025-326X(02)00215-1</t>
  </si>
  <si>
    <t>Environmental Sciences; Marine &amp; Freshwater Biology</t>
  </si>
  <si>
    <t>625TJ</t>
  </si>
  <si>
    <t>WOS:000179831400025</t>
  </si>
  <si>
    <t>Mulyukin, AL; Sorokin, VV; Vorob'eva, EA; Suzina, NE; Duda, VI; Gal'chenko, VF; El'-Registan, GI</t>
  </si>
  <si>
    <t>Detection of microorganisms in the environment and the preliminary appraisal of their physiological state by X-ray microanalysis</t>
  </si>
  <si>
    <t>MICROBIOLOGY</t>
  </si>
  <si>
    <t>X-ray microanalysis; elemental composition; resting microbial cells; micromummies; ecological monitoring</t>
  </si>
  <si>
    <t>BACTERIA; NANOBACTERIA; SURVIVAL</t>
  </si>
  <si>
    <t>The paper deals with the X-ray microanalysis of the elemental composition of bacteriomorphic particles in 170000-year-old Antarctic permafrost sediments and in indoor dust. A comparative analysis of the phosphorus, sulfur, calcium, and potassium contents and the Ca/K and P/S ratios in these particles and in reference microbial cells occurring in different physiological states showed that the absence of P and/or S peaks in the X-ray spectrum of an object may indicate that it is abiotic. Resting microbial forms can be revealed on the basis of the following characteristic features: an increased content of Ca, a high Ca/K ratio, and a low P/S ratio. Model experiments with nonviable bacterial and yeast micromummies with alterations in the structural and barrier functions of the cytoplasmic membrane showed that micromummies can be recognized by a super-high content of a marker element (e.g., P, K, or Si), accumulated due to facilitated diffusion along a deliberately created concentration gradient. Such an analysis of the permafrost sediment and dust made it possible to suggest the presence of mummified cells in these objects. The possibility of using X-ray microanalysis for the detection of microbial cells in natural habitats in order to enhance the efficiency of ecological monitoring of the environment is discussed.</t>
  </si>
  <si>
    <t>Russian Acad Sci, Inst Microbiol, Moscow 117312, Russia; Moscow MV Lomonosov State Univ, Fac Soil Sci, Moscow 119899, Russia; Russian Acad Sci, Skryabin Inst Biochem &amp; Physiol Microorganisms, Pushchino 142290, Moscow Oblast, Russia; Pushchino State Univ, Pushchino 142290, Moscow Oblast, Russia</t>
  </si>
  <si>
    <t>Russian Academy of Sciences; Research Center of Biotechnology RAS; Lomonosov Moscow State University; Russian Academy of Sciences; Pushchino Scientific Center for Biological Research (PSCBI) of the Russian Academy of Sciences</t>
  </si>
  <si>
    <t>Russian Acad Sci, Inst Microbiol, Pr 60 Letiya Oktyabrya 7,K 2, Moscow 117312, Russia.</t>
  </si>
  <si>
    <t>Mulyukin, A./AAU-1036-2021; Suzina, Nataliya/G-7972-2014</t>
  </si>
  <si>
    <t>Sorokin, Vladimir/0000-0002-4166-3105; Duda, Vitalii/0000-0002-3221-4201; Biopoly, Labo/0000-0002-5437-0723; Suzina, Nataliya/0000-0002-4960-1910</t>
  </si>
  <si>
    <t>0026-2617</t>
  </si>
  <si>
    <t>1608-3237</t>
  </si>
  <si>
    <t>MICROBIOLOGY+</t>
  </si>
  <si>
    <t>10.1023/A:1021444309796</t>
  </si>
  <si>
    <t>630CQ</t>
  </si>
  <si>
    <t>WOS:000180090300015</t>
  </si>
  <si>
    <t>Killilea, AN; Paluh, JL; Detrich, HW; Downing, KH</t>
  </si>
  <si>
    <t>Mutation of the Schizosaccaharomyces pombe β-tubulin residue that corresponds to one implicated in temperature-stability in Antarctic fish, blocks meiosis but not mitosis and does not confer cold-sensitivity</t>
  </si>
  <si>
    <t>MOLECULAR BIOLOGY OF THE CELL</t>
  </si>
  <si>
    <t>42nd Annual Meeting of the American-Society-for-Cell-Biology</t>
  </si>
  <si>
    <t>DEC 14-18, 2002</t>
  </si>
  <si>
    <t>SAN FRANCISCO, CALIFORNIA</t>
  </si>
  <si>
    <t>Lawrence Berkeley Natl Lab, Div Life Sci, Berkeley, CA USA; Boston Coll, Dept Biol, Chestnut Hill, MA 02167 USA; Northeastern Univ, Dept Biol, Boston, MA 02115 USA</t>
  </si>
  <si>
    <t>United States Department of Energy (DOE); Lawrence Berkeley National Laboratory; Boston College; Northeastern University</t>
  </si>
  <si>
    <t>AMER SOC CELL BIOLOGY</t>
  </si>
  <si>
    <t>8120 WOODMONT AVE, STE 750, BETHESDA, MD 20814-2755 USA</t>
  </si>
  <si>
    <t>1059-1524</t>
  </si>
  <si>
    <t>MOL BIOL CELL</t>
  </si>
  <si>
    <t>Mol. Biol. Cell</t>
  </si>
  <si>
    <t>462A</t>
  </si>
  <si>
    <t>621BR</t>
  </si>
  <si>
    <t>WOS:000179569102599</t>
  </si>
  <si>
    <t>Pearson, CVM; Rogers, AD; Sheader, M</t>
  </si>
  <si>
    <t>The genetic structure of the rare lagoonal sea anemone, Nematostella vectensis Stephenson (Cnidaria; Anthozoa) in the United Kingdom based on RAPD analysis</t>
  </si>
  <si>
    <t>genetic structure; lagoon; RAPD; sea anemone</t>
  </si>
  <si>
    <t>POLYMORPHIC DNA RAPD; ASEXUAL REPRODUCTION; POPULATIONS; DIVERSITY; MARKERS</t>
  </si>
  <si>
    <t>The sea anemone Nematostella vectensis occurs in lagoons in the United States and along the southern and eastern coasts of the United Kingdom. In the United Kingdom it is considered rare and is threatened, principally through the destruction of lagoonal habitat. Random amplified polymorphic DNA (RAPD) data from populations across most of the rane of N. vectensis in the United Kingdom revealed that 61% of individuals had an identical genotype, the frequency of which varied from 0.01 to 1.00. These data provide strong evidence for predominantly clonal reproduction and for the existence of a 'general-purpose genotype' in the UK populations. Alternatively, the low levels of genetic variation observed in some N. vectensis populations may have resulted if they were founded from very few successful individuals from the United States. Analysis of molecular variance (AMOVA) showed significant genetic differentiation between lagoons with no large-scale pattern of geographical variation. This result is consistent with occasional passive or anthropogenic dispersal of low numbers of individuals between lagoons followed by asexual proliferation of immigrants. Transplantation of individuals of the predominant (general-purpose) genotype, for conservation purposes, will probably stand a good chance of survival given its prevalence throughout the United Kingdom.</t>
  </si>
  <si>
    <t>Univ Southampton, Sch Ocean &amp; Earth Sci, Southampton Oceanog Ctr, Southampton SO14 3ZH, Hants, England</t>
  </si>
  <si>
    <t>adr2@bas.ac.uk</t>
  </si>
  <si>
    <t>10.1046/j.1365-294X.2002.01621.x</t>
  </si>
  <si>
    <t>610LX</t>
  </si>
  <si>
    <t>WOS:000178962500007</t>
  </si>
  <si>
    <t>Genzano, GN; Zamponi, MO</t>
  </si>
  <si>
    <t>Hydroid assemblages from Mar del Plata, Argentina, at depths between 0 and 500 m. Distribution and biological substrata</t>
  </si>
  <si>
    <t>OCEANOLOGICA ACTA</t>
  </si>
  <si>
    <t>hydroids; epibiosis; distribution; Argentina; SW Atlantic Ocean</t>
  </si>
  <si>
    <t>CONTINENTAL-SHELF; ASSOCIATIONS</t>
  </si>
  <si>
    <t>The first studies on hydroids of the subantarctic region (SW Atlantic Ocean) were based on samples from expeditions to the Antarctic at the end of the 19th and beginning of the 20th centuries. In spite of these works, hydroids from the northern Argentine continental shelf remained unknown until the 1960s. In coastal waters off Mar del Plata, studies on hydroids have been few in number and limited to species described from preserved material. Even rudimentary ecological information is lacking in these reports. Over the past few decades, samples from oceanographic expeditions, and specimens collected directly from the intertidal rocky shore or by means of scuba diving and snorkeling, have provided heretofore unpublished information on hydropolyps of the Mar del Plata region. The goal of this work is to analyze the hydroid fauna of the Mar del Plata coast, including bathymetric distributions, frequencies of occurrence, and biological substrata. A total of 36 species were included. Most were found at depths shallower than 8 m, where hard substrates predominated. Numbers of species decreased markedly below 80 m. The shallow-water hydroid fauna of Mar del Plata comprises a large number of cosmopolitan or widely distributed species. In deeper zones, species with subantarctic or south hemisphere distributions predominated. Hard bottom outcrops were surrounded by extensive areas of sand. Although such substrata are unfavorable for most hydroids, many species were found in soft bottom areas on polychaete tubes. Stems of hydroids provided the greatest number of epizoic species (18), followed by polychaete tubes (16 species) and sponges (15 species). Hydroids, bivalve mollusks, and sponges were the most frequent substrates. Colonies grew less frequently on bryozoans and tunicates. This general scheme changed at greater depths, where the most frequent substrates were polychaete tubes and sponges. (C) 2002 Ifremer/CNRS/IRD/Editions scientifiques et medicales Elsevier SAS. All rights reserved.</t>
  </si>
  <si>
    <t>Univ Mar del Plata, Fac Ciencias Exactas &amp; Nat, Dept Ciencias Marinas, LABIC,CONICET, RA-7600 Mar Del Plata, Argentina</t>
  </si>
  <si>
    <t>National University of Mar del Plata</t>
  </si>
  <si>
    <t>Genzano, GN (corresponding author), Univ Mar del Plata, Fac Ciencias Exactas &amp; Nat, Dept Ciencias Marinas, LABIC,CONICET, Funes 3250, RA-7600 Mar Del Plata, Argentina.</t>
  </si>
  <si>
    <t>GAUTHIER-VILLARS/EDITIONS ELSEVIER</t>
  </si>
  <si>
    <t>23 RUE LINOIS, 75015 PARIS, FRANCE</t>
  </si>
  <si>
    <t>0399-1784</t>
  </si>
  <si>
    <t>OCEANOL ACTA</t>
  </si>
  <si>
    <t>Oceanol. Acta</t>
  </si>
  <si>
    <t>PII S0399-1784(02)01197-0</t>
  </si>
  <si>
    <t>10.1016/S0399-1784(02)01197-0</t>
  </si>
  <si>
    <t>668VP</t>
  </si>
  <si>
    <t>WOS:000182314100003</t>
  </si>
  <si>
    <t>Gudkovich, ZM; Kovalev, EG</t>
  </si>
  <si>
    <t>On the mechanisms of the cyclic climate changes in the Arctic and the Antarctic</t>
  </si>
  <si>
    <t>NORTH-ATLANTIC; SEA-ICE; SALINITY</t>
  </si>
  <si>
    <t>An analysis of the cross-correlation and spectral functions of the long-term variability of the ice condition of the Greenland Sea, water salinity, and cyclonic-activity index in the region of the Norwegian energy active zone of the ocean reveals a self-oscillating mechanism responsible for the onset of cyclic variability in the ocean-ice cover-atmosphere system with a period of about 20-25 years. The mechanism is based on the effect of an ice-covered area on the cyclonic activity and the effect of the cyclonic activity on the convection conditions affecting the vertical heat fluxes to the water that controls the ice condition of the sea. The ice condition oscillations lag behind the variability of the atmospheric pressure by a quarter of a period. Similar phenomena are observed in the Antarctic, where they are associated with the action of the Antarctic circumpolar wave of the atmospheric pressure anomalies moving from the west to the east, the location of the ice edge, and other characteristics. The differences between these phenomena in the Arctic and the Antarctic, as well as the possible reasons for them, are considered.</t>
  </si>
  <si>
    <t>Arctic &amp; Antarctic Res Inst, St Petersburg 199226, Russia</t>
  </si>
  <si>
    <t>Gudkovich, ZM (corresponding author), Arctic &amp; Antarctic Res Inst, St Petersburg 199226, Russia.</t>
  </si>
  <si>
    <t>630WE</t>
  </si>
  <si>
    <t>WOS:000180132500002</t>
  </si>
  <si>
    <t>Pokrovskii, OM; Timokhov, LA</t>
  </si>
  <si>
    <t>Reconstruction of the winter fields of temperature and salinity in the Arctic Ocean</t>
  </si>
  <si>
    <t>SEA-SURFACE TEMPERATURES</t>
  </si>
  <si>
    <t>The theoretical basis and an algorithm and numerical scheme of realization of the objective analysis of oceanographic fields obtained with irregular and rare observational network are presented. With the use of the oceanographic database, we reconstructed the temperature and salinity fields in the Arctic Ocean for March-May from 1948 to 1989 and obtained a continuous series of the net values of characteristics at standard levels. Examples of the values observed and the reconstructed temperature and salinity fields for 1955 and 1977 are presented. The characteristic features of the fields are described.</t>
  </si>
  <si>
    <t>Voeikov Cent Geophys Observat, St Petersburg, Russia; Arctic &amp; Antarctic Res Inst, St Petersburg 199226, Russia</t>
  </si>
  <si>
    <t>Pokrovskii, OM (corresponding author), Voeikov Cent Geophys Observat, St Petersburg, Russia.</t>
  </si>
  <si>
    <t>WOS:000180132500003</t>
  </si>
  <si>
    <t>Bianchi, C; Gersonde, R</t>
  </si>
  <si>
    <t>The Southern Ocean surface between Marine Isotope Stages 6 and 5d: Shape and timing of climate changes</t>
  </si>
  <si>
    <t>sea surface temperature; sea-ice; last interglacial; diatoms; palaeoceanography; Southern Ocean; Weddell Gyre</t>
  </si>
  <si>
    <t>VOSTOK ICE CORE; ANTARCTIC SEA-ICE; DEEP-WATER PRODUCTION; ATLANTIC SECTOR; TERMINATION II; ATMOSPHERIC C-14; BIOGENIC SILICA; INDIAN-OCEAN; LAST; TEMPERATURE</t>
  </si>
  <si>
    <t>Summer sea surface temperature (SSST) and sea-ice extent, obtained at millennial to centennial resolution, are presented for seven cores recovered in the Atlantic and western Indian Antarctic Zone, from Termination II and the last interglacial s.s., i.e. Marine Isotope Substage (MIS) 5e. The diatom-based SSST estimates show that during the late MIS 6 intensified export of cold waters from the Weddell Sea resulted in SSSTs close to 0degreesC in the central and eastern Atlantic sector. Due to northward expansion of the winter sea-ice edge by 3-5degrees latitude the sea-ice seasonality was reduced. Such conditions have great potential for efficient year-round reduction in air-sea gas exchange and glacial CO2 draw down. The warming at Termination II started at 132-131 ka, marked by rapid retreat of the sea-ice edge. The SSST increased within a few thousands of years to reach maximum interglacial summer temperatures ranging between 2.5 and 3.5degreesC, in the earliest MIS 5e (128-125 ka). Besides a distinct cold reversal around 129.5 ka, the warming was punctuated by short-lived temperature rebounds with amplitudes of 1-1.5degreesC, occurring at 200-300 yr frequency, thus in the range of the periodicity of solar input. Increased Chaetoceros spp. abundance suggests meltwater events as the primary cause of the coolings. The SSST optimum, characterised by strongly enhanced biogenic sedimentation rates, ended at ca. 125 ka, with the full re-establishment of the global conveyor belt and beginning of the Northern Hemisphere climatic optimum. At this time SSSTs decreased stepwise and stabilised on values slightly warmer than today, showing in the following period of MIS 5e only low amplitude oscillations. During MIS 5d a northward expansion of the sea-ice field took place, but SSSTs only slightly colder than modern ones and a weakened meridional temperature gradient indicate that the Southern Ocean did not fall in a true glacial mode. The tight correlation between Southern Ocean SSST and winter sea-ice records, and Vostok atmospheric temperature and CO2 records support the idea that the Antarctic winter sea-ice and Southern Ocean temperature exert a primary control on the atmospheric-ocean CO2 exchanges and hence on global climate. Reduction of the Antarctic sea-ice field and increase of SSST at the onset of Termination 11 could have been triggered by precessional changes influencing southern high latitude summer insolation. Positive feedback mechanisms, reduction of surface albedo and release Of CO2 into the atmosphere, and changes in global ocean circulation, affected by a collapse or strong reduction in North Atlantic Deep Water (NADW) production, could have induced further reinforcement of the Southern Ocean warming. (C) 2002 Elsevier Science B.V. All rights reserved.</t>
  </si>
  <si>
    <t>Alfred Wegener Inst Polar &amp; Marine Res, POB 120161,Columbusstr, D-27515 Bremerhaven, Germany.</t>
  </si>
  <si>
    <t>cbianchi@awi-bremerhaven.de; rgersonde@awi-bremerhaven.de</t>
  </si>
  <si>
    <t>1872-616X</t>
  </si>
  <si>
    <t>PII S0031-0182(02)00516-3</t>
  </si>
  <si>
    <t>10.1016/S0031-0182(02)00516-3</t>
  </si>
  <si>
    <t>609UG</t>
  </si>
  <si>
    <t>WOS:000178922500008</t>
  </si>
  <si>
    <t>Kiessling, W</t>
  </si>
  <si>
    <t>Radiolarian diversity patterns in the latest Jurassic-earliest Cretaceous</t>
  </si>
  <si>
    <t>Jurassic; Cretaceous; radiolarians; biodiversity; paleogeography</t>
  </si>
  <si>
    <t>SEA-SURFACE TEMPERATURES; COAST RANGE OPHIOLITE; LATITUDINAL GRADIENTS; PALEOTEMPERATURE VARIATION; CALCAREOUS NANNOFOSSILS; FORAMINIFERAL DIVERSITY; TAXONOMIC DIVERSITY; SEDIMENTARY RECORD; SPECIES-DIVERSITY; RUSSIAN PLATFORM</t>
  </si>
  <si>
    <t>The global diversity patterns of latest Jurassic-earliest Cretaceous (Tithonian-Berriasian) radiolarian faunas were analyzed based on samples from the European Alps, Oman, Philippines and Antarctica and an extensive literature survey. Several measures of diversity were applied to faunas from tropical (Oman, Mexico, Pacific), subtropical (Alps, California, Philippines, Japan), and subpolar (Antarctic Peninsula, New Zealand, Northern Russia) localities. Original diversity patterns are obscured by taxonomic, sedimentological, and preservational biases. Qualitative and quantitative corrections of these biases indicated a significant diversity gradient from tropical-subtropical to subpolar latitudes, but no significant difference between tropical and subtropical assemblages. The latitudinal diversity gradient was apparently asymmetrical, being steeper in the Northern Hemisphere than in the Southern Hemisphere. In the Southern Hemisphere the diversity gradient was similar to the one observed in modern radiolarian sedimentary assemblages. Considering the more equable climate of the Tithonian-Berriasian, it appears unlikely that temperature was the only control of the observed diversity patterns. The results substantiate the notion of latitudinal diversity gradients as a time-invariant feature of the Earth, possibly driven by gradients in biome size. (C) 2002 Elsevier Science B.V. All rights reserved.</t>
  </si>
  <si>
    <t>Univ Chicago, Dept Geophys Sci, Chicago, IL 60637 USA</t>
  </si>
  <si>
    <t>University of Chicago</t>
  </si>
  <si>
    <t>Inst Paleontol, Museum Nat Kunde, Invalidenstr 43, D-10115 Berlin, Germany.</t>
  </si>
  <si>
    <t>wolfgang.kiessling@museum.hu-berlin.de</t>
  </si>
  <si>
    <t>Kiessling, Wolfgang/E-2259-2015</t>
  </si>
  <si>
    <t>Kiessling, Wolfgang/0000-0002-1088-2014</t>
  </si>
  <si>
    <t>PII S0031-0182(02)00529-1</t>
  </si>
  <si>
    <t>10.1016/S0031-0182(02)00529-1</t>
  </si>
  <si>
    <t>WOS:000178922500009</t>
  </si>
  <si>
    <t>Kellermann, AK; Gauldie, RW; Ruzicka, JJ</t>
  </si>
  <si>
    <t>Otolith microincrements in the Antarctic fishes Notothenia coriiceps and Pseudochaenichthys georgianus</t>
  </si>
  <si>
    <t>GROWTH; AGE</t>
  </si>
  <si>
    <t>Larvae of Notothenia coriiceps (Nototheniidae: Teleostei) from naturally fertilized eggs were reared to determine the time to yolk absorption under different feeding regimes. The microstructure of sagittal otoliths was used to validate the periodicity of otolith increment formation, and to detect changes in microincrement deposition patterns corresponding with events during early life. For comparison, otolith microstructures from a sample of larvae of Pseudochaenichthys georgianus (Channichthyidae: Teleostei) were used to estimate hatch dates, growth and time to yolk absorption in the field.</t>
  </si>
  <si>
    <t>Wadden Sea Natl Pk Off, D-25832 Tonning, Germany; Univ Hawaii, Hawaii Inst Geophys &amp; Planetol, Sch Ocean &amp; Earth Sci &amp; Technol, Honolulu, HI 96822 USA; Woods Hole Oceanog Inst, Environm Syst Lab, Woods Hole, MA 02543 USA</t>
  </si>
  <si>
    <t>University of Hawaii System; Woods Hole Oceanographic Institution</t>
  </si>
  <si>
    <t>Gauldie, RW (corresponding author), Merit NZ, POB 14-395, Wellington, New Zealand.</t>
  </si>
  <si>
    <t>10.1007/s00300-002-0432-5</t>
  </si>
  <si>
    <t>614RM</t>
  </si>
  <si>
    <t>WOS:000179204400001</t>
  </si>
  <si>
    <t>Page, TJ; Linse, K</t>
  </si>
  <si>
    <t>More evidence of speciation and dispersal across the Antarctic Polar Front through molecular systematics of Southern Ocean Limatula (Bivalvia: Limidae)</t>
  </si>
  <si>
    <t>INTERNAL TRANSCRIBED SPACER; PHYLOGENIES; NOTOTHENIOIDS</t>
  </si>
  <si>
    <t>The previously unclear taxonomic status of the high-Antarctic bivalve Limatula ovalis Thiele, 1912 and the sub-Antarctic L. pygmaea (Philippi, 1845) was investigated using molecular techniques (18S rDNA, 16S rDNA, ITS-1). L. ovalis and L. pygmaea were recovered as sister taxa, and L. hodgsoni (Smith, 1907) as their sister, supporting the subgenus Antarctolima Habe, 1977. Various different molecular clock calculations placed the timing of the L. ovalis/pygmaea divergence (1.36-8.03 MYA with 16S rDNA, 6.81-19.12 MYA with 18S rDNA, 0.24-2.87 MYA with ITS-1) well after the formation of the Antarctic Polar Front (23.5 MYA, APF), indicating a more recent speciation process. The vicariance hypothesis that the APF is a barrier for geneflow favouring speciation processes in the Southern Ocean has to be questioned.</t>
  </si>
  <si>
    <t>British Antarctic Survey, NERC, Cambridge CB3 0ET, England; Nat Hist Museum, London SW7 5BD, England</t>
  </si>
  <si>
    <t>UK Research &amp; Innovation (UKRI); Natural Environment Research Council (NERC); NERC British Antarctic Survey; Natural History Museum London</t>
  </si>
  <si>
    <t>Griffith Univ, Australian Sch Environm Studies, Nathan, Qld 4111, Australia.</t>
  </si>
  <si>
    <t>t.page@mailbox.gu.edu.au</t>
  </si>
  <si>
    <t>Page, Timothy/B-9000-2008</t>
  </si>
  <si>
    <t>Page, Timothy/0000-0002-3521-3503; Linse, Katrin/0000-0003-3477-3047</t>
  </si>
  <si>
    <t>10.1007/s00300-002-0414-7</t>
  </si>
  <si>
    <t>WOS:000179204400003</t>
  </si>
  <si>
    <t>Stankovic, A; Borsuk, P; Koper, M; Weglenski, P</t>
  </si>
  <si>
    <t>Studies on Ephelota sp., an epizoic suctorian found on Antarctic krill</t>
  </si>
  <si>
    <t>EVOLUTION; PROTOZOA; OCEAN; BODY</t>
  </si>
  <si>
    <t>The anatomy, morphology and life-cycle of ciliates living on Antarctic krill are described. All ciliates found on the bodies of several thousand individual krill belong to one species of the genus Ephelota. Analysis of small subunit rDNA (SS rDNA) sequences from different Ephelota individuals in various stages of their lifecycle confirmed this result and proved that even the cysts found in great numbers in the filtering baskets of krill represent the resting stage of Ephelota. DNA studies have also shown that Antarctic and non-Antarctic species of Ephelota diverged much earlier than Antarctic and non-Antarctic species of krill.</t>
  </si>
  <si>
    <t>Univ Warsaw, Dept Genet, PL-02106 Warsaw, Poland; Univ Warsaw, Ctr Archaeol Res Novae, PL-02089 Warsaw, Poland; Polish Acad Sci, Inst Biophys &amp; Biochem, PL-02106 Warsaw, Poland</t>
  </si>
  <si>
    <t>University of Warsaw; University of Warsaw; Polish Academy of Sciences; Institute of Biochemistry &amp; Biophysics - Polish Academy of Sciences</t>
  </si>
  <si>
    <t>Polish Acad Sci, Dept Antarctic Biol, Ustrzycka 10-12, PL-02141 Warsaw, Poland.</t>
  </si>
  <si>
    <t>borsuk@poczta.ibb.waw.pl</t>
  </si>
  <si>
    <t>Koper, Michal/0000-0003-4824-1797; Weglenski, Piotr/0000-0002-7779-1475</t>
  </si>
  <si>
    <t>10.1007/s00300-002-0409-4</t>
  </si>
  <si>
    <t>WOS:000179204400004</t>
  </si>
  <si>
    <t>Pontier, D; Say, L; Debias, FO; Bried, J; Thioulouse, J; Micol, T; Natoli, E</t>
  </si>
  <si>
    <t>The diet of feral cats (Felis catus L.) at five sites on the Grande Terre, Kerguelen archipelago</t>
  </si>
  <si>
    <t>RAT RATTUS-RATTUS; ISLAND; ERADICATION; PREDATION; HABITAT; SUCCESS; MAMMALS; BIRDS</t>
  </si>
  <si>
    <t>Assessing the impact (direct or indirect) of introduced predator species on native seabird populations is a clear management priority, particularly so in the simple sub-Antarctic ecosystems where these effects may be dramatic. We evaluated the diet of introduced feral cats (Felis catus L.) on the Grande Terre, Kerguelen archipelago, by analysing 149 scats from 5 sites. Overall, rabbits (Oryctolagus cuniculus) were the primary prey (72.6%), followed by house mice (Mus musculus) (11.6%) and birds (all species confounded, 14.9%). However, the proportions of the three prey species varied among sites, reflecting the spreading pattern of cats onto the Grande Terre. Birds were consumed much less frequently in this study (7.3%, all sites pooled but one) compared to a 1976 study in the same area (66.3%), suggesting that cats had a strong impact on the native avifauna.</t>
  </si>
  <si>
    <t>Univ Lyon 1, CNRS, UMR 5558 Biometrie &amp; Biol Evolut, F-69622 Villeurbanne, France; CNRS, Ctr Ecol Fonct &amp; Evolut, F-34293 Montpellier 5, France; CNRS, Ctr Etud Biol Chize, F-79360 Villiers En Bois, France; Azienda USL Roma D, Vet Serv, Canile Sanitario, I-00153 Rome, Italy</t>
  </si>
  <si>
    <t>Centre National de la Recherche Scientifique (CNRS); CNRS - Institute of Ecology &amp; Environment (INEE); Universite Claude Bernard Lyon 1; Universite PSL; Ecole Pratique des Hautes Etudes (EPHE); Institut Agro; Montpellier SupAgro; CIRAD; Centre National de la Recherche Scientifique (CNRS); Institut de Recherche pour le Developpement (IRD); Universite Paul-Valery; Universite de Montpellier; Centre National de la Recherche Scientifique (CNRS)</t>
  </si>
  <si>
    <t>Univ Lyon 1, CNRS, UMR 5558 Biometrie &amp; Biol Evolut, 43 Blvd 11 Novembre 1918, F-69622 Villeurbanne, France.</t>
  </si>
  <si>
    <t>dpontier@biomserv.univ-lyonl.fr</t>
  </si>
  <si>
    <t>Natoli, Eugenia/AAE-2156-2020; Fritz, Herve/D-1729-2014; Thioulouse, Jean/AAS-8017-2021</t>
  </si>
  <si>
    <t>Natoli, Eugenia/0000-0002-9232-7048; Fritz, Herve/0000-0002-7106-3661; Thioulouse, Jean/0000-0001-7664-0598; Pontier, Dominique/0000-0003-4700-3543</t>
  </si>
  <si>
    <t>10.1007/s00300-002-0424-5</t>
  </si>
  <si>
    <t>WOS:000179204400005</t>
  </si>
  <si>
    <t>Say, L; Devillard, S; Natoli, E; Pontier, D</t>
  </si>
  <si>
    <t>The mating system of feral cats (Felis catus L.) in a sub-Antarctic environment</t>
  </si>
  <si>
    <t>SPERM COMPETITION GAMES; REPRODUCTIVE SUCCESS; NATURAL-POPULATIONS; PATERNITY</t>
  </si>
  <si>
    <t>In order to investigate the mating system of domestic cats living in a sub-Antarctic environment, we sampled 40 kittens belonging to 13 litters (from 9 mothers) in the main island of Kerguelen archipelago. We genotyped females and kittens using nine microsatellite markers. Contrary to what has been found in environments under strong human influence where the mating system is polygynous or promiscuous, and where male cats were in general not able to control the access to receptive females, results show that kittens from the same litter were sired by only one male in the Kerguelen population. It is hypothesised that this pattern is the closest to that of the original environment of adaptation.</t>
  </si>
  <si>
    <t>Univ Lyon 1, CNRS, UMR 5558 Biometrie &amp; Biol Evolut, F-69622 Villeurbanne, France; Osped Vet, Azienda USL Roma D, Dipartimento Sanita Pubbl Vet, I-00153 Rome, Italy</t>
  </si>
  <si>
    <t>Centre National de la Recherche Scientifique (CNRS); CNRS - Institute of Ecology &amp; Environment (INEE); Universite Claude Bernard Lyon 1</t>
  </si>
  <si>
    <t>Pontier, D (corresponding author), Univ Lyon 1, CNRS, UMR 5558 Biometrie &amp; Biol Evolut, 43 Blvd 11 Novembre 1918, F-69622 Villeurbanne, France.</t>
  </si>
  <si>
    <t>dev, seb/IYJ-0117-2023; Natoli, Eugenia/AAE-2156-2020</t>
  </si>
  <si>
    <t>Natoli, Eugenia/0000-0002-9232-7048; DEVILLARD, Sebastien/0000-0001-6911-4362</t>
  </si>
  <si>
    <t>10.1007/s00300-002-0427-2</t>
  </si>
  <si>
    <t>WOS:000179204400006</t>
  </si>
  <si>
    <t>Lea, MA; Nichols, PD; Wilson, G</t>
  </si>
  <si>
    <t>Fatty acid composition of lipid-rich myctophids and mackerel icefish (Champsocephalus gunnari) -: Southern ocean food-web implications</t>
  </si>
  <si>
    <t>ANTARCTIC FUR SEALS; ARCTOCEPHALUS-GAZELLA; KING PENGUINS; KERGUELEN WATERS; MESOPELAGIC FISH; INDIAN-OCEAN; POLAR FRONT; WAX ESTERS; DIET; MACQUARIE</t>
  </si>
  <si>
    <t>The lipid content, fatty acid composition and calorific value of seven species of mesopelagic deep-sea fish of the family Myctophidae and the mackerel icefish, Champsocephalus gunnari, important in the diet of Southern Ocean marine predators, are presented. Fish were sampled at the Kerguelen Plateau (KP) and Macquarie Ridge (MR) in the Indian and Pacific sectors of the Southern Ocean respectively, to examine geographic variation in lipid compositon. All species of myctophid from KP and Electrona antarctica from MR were high in lipid content (6-18% wet mass), particularly Gymnoscopelus nicholsi (18%) and E. antarctica (15%). The mackerel icefish, and G. fraseri and Protomyctophum tenisoni from MR were generally lower in lipid content (3-5%) and varied significantly in fatty acid composition from KP species. KP myctophids were high in calorific content (9.3 kJ g I wet mass) when compared with icefish (5.4 kJ g 1 wet mass) and other published values for pre items of marine predators such as squid (1.7-4.5 kJ g). KP myctophids were distinguished from each other and from C. gunnari and MR specimens by cluster and discriminant function analysis using six fatty acids (16:0, 18:1omega9, 20:1omega9, 22:1omega11, 20:5omega3, 22:6omega3). Findings presented here highlight trophic links between high-latitude fish and their prey and emphasise the importance of myctophids as a significant energy source for marine predators foraging in the Polar Frontal Zone.</t>
  </si>
  <si>
    <t>Univ Tasmania, Sch Zool, Antarctic Wildlife Res Unit, Hobart, Tas 7001, Australia; CSIRO Marine Res, Hobart, Tas 7001, Australia; Univ Tasmania, Antarctic CRC, Hobart, Tas 7001, Australia; Univ Tasmania, Inst Antarctic &amp; So Ocean Studies, Hobart, Tas 7001, Australia</t>
  </si>
  <si>
    <t>University of Tasmania; Commonwealth Scientific &amp; Industrial Research Organisation (CSIRO); University of Tasmania; University of Tasmania</t>
  </si>
  <si>
    <t>CNRS, Ctr Etud Biol Chize, F-79360 Beauvoir Sur Niort, France.</t>
  </si>
  <si>
    <t>ma_lea@utas.edu.au</t>
  </si>
  <si>
    <t>Nichols, Peter D/C-5128-2011; Lea, Mary-Anne/E-9054-2013</t>
  </si>
  <si>
    <t>Lea, Mary-Anne/0000-0001-8318-9299</t>
  </si>
  <si>
    <t>10.1007/s00300-002-0428-1</t>
  </si>
  <si>
    <t>WOS:000179204400007</t>
  </si>
  <si>
    <t>Slabber, S; Chown, SL</t>
  </si>
  <si>
    <t>The first record of a terrestrial crustacean, Porcellio scaber (Isopoda, Porcellionidae), from sub-Antarctic Marion Island</t>
  </si>
  <si>
    <t>SOUTHERN-OCEAN ISLANDS; BODY-COMPOSITION; IMPACTS; CONSERVATION; ECOSYSTEM; HISTORY; DIPTERA; GEORGIA; PLANTS; LIFE</t>
  </si>
  <si>
    <t>Here we present the first record of Porcellio scaber Latreille, 1804 (Isopoda, Porcellionidae) from sub-Antarctic Marion Island. Because surveys for new species introductions are undertaken on a regular basis (at least annually) on the island, it seems likely that the species arrived in April 2001. The present distribution of P. scaber at the station suggests that it probably arrived with building supplies from Cape Town, although it may have been introduced from Gough Island from where it is also known. The species feeds on detritus as it does elsewhere, and appears to be reproductively most active over the summer months from October until March. The introduced house mouse and indigenous lesser sheath-bill, the main vertebrate predators of invertebrates at the island, would not take individuals of P. scaber. The introduction of this highly successful invasive species at Marion Island highlights the ongoing conflict between use and conservation on the Southern Ocean islands.</t>
  </si>
  <si>
    <t>Univ Stellenbosch, Dept Zool, ZA-7602 Matieland, South Africa</t>
  </si>
  <si>
    <t>Chown, SL (corresponding author), Univ Stellenbosch, Dept Zool, Private Bag 11, ZA-7602 Matieland, South Africa.</t>
  </si>
  <si>
    <t>Chown, Steven/ABD-7646-2021; Chown, Steven L/H-3347-2011</t>
  </si>
  <si>
    <t>10.1007/s00300-002-0420-9</t>
  </si>
  <si>
    <t>WOS:000179204400008</t>
  </si>
  <si>
    <t>Odate, T; Furuya, K; Fukuchi, M</t>
  </si>
  <si>
    <t>Photosynthetic oxygen production and community respiration in the Indian sector of the Antarctic Ocean during austral summer</t>
  </si>
  <si>
    <t>SOUTHERN-OCEAN; ROSS SEA; PHYTOPLANKTON; WATER; FIELD; IRON</t>
  </si>
  <si>
    <t>Photosynthetic oxygen production by phytoplankton and community respiration in the Indian sector of the Antarctic Ocean were estimated from changes in oxygen concentrations in light and dark bottles. Gross production varied between 0.1 and 5.1 mumol O-2 l(-1) day(-1). In the same water, community respiration (the sum of oxygen consumption by heterotrophs and phytoplankton) was 0.4-3.6 mumol O-2 l(-1) day(-1), which accounted for 47-343% of the gross production. Algal and heterotrophic respirations were distinguished using some assumptions. These estimates showed that heterotrophic respiration accounted for most of the community respiration (70-91% depending upon the assumptions), indicating that heterotrophic respiration plays an important role in the mineralization of phytoplankton production in the surveyed sea area. Gross production rate correlated with chlorophyll a concentration, showing that the photosynthetic production rate of oxygen depends on the abundance of phytoplankton. Moreover, there was a significant relationship between gross production and community respiration rates. These regression equations suggested that negative net production occurred under the usually low concentration of chlorophyll observed in the Indian sector of the Antarctic Ocean. Hence, the net exchange of carbon dioxide due to biological processes through the sea surface seemed to be not as large as expected in the Antarctic Ocean, although the number of data were limited at this stage.</t>
  </si>
  <si>
    <t>Natl Inst Polar Res, Itabashi Ku, Tokyo 1738515, Japan; Mie Univ, Fac Bioresources, Lab Biol Oceanog, Tsu, Mie 5148507, Japan</t>
  </si>
  <si>
    <t>Research Organization of Information &amp; Systems (ROIS); National Institute of Polar Research (NIPR) - Japan; Mie University</t>
  </si>
  <si>
    <t>Odate, T (corresponding author), Natl Inst Polar Res, Itabashi Ku, 9-10 Kaga,1-Chome, Tokyo 1738515, Japan.</t>
  </si>
  <si>
    <t>WOS:000179204400009</t>
  </si>
  <si>
    <t>Khim, BK; Yoon, HI; Kang, CY; Bahk, JJ</t>
  </si>
  <si>
    <t>Unstable climate oscillations during the late Holocene in the eastern Bransfield Basin, Antarctic Peninsula</t>
  </si>
  <si>
    <t>organic carbon; biogenic silica; magnetic susceptibility; paleoproductivity; climate; Late Holocene; Bransfield Basin; Antarctic</t>
  </si>
  <si>
    <t>MARINE-SEDIMENTS; ICE-CORE; PARTICLE-FLUX; SEA; RADIOCARBON; STRAIT; EVOLUTION; LINKAGES; DEPOSITS; RETREAT</t>
  </si>
  <si>
    <t>Core A9-EB2 from the eastern Bransfield Basin, Antarctic Peninsula, consists of pelagic (diatom ooze-clay couplets and bioturbated diatom ooze) and hemipelagic (bioturbated mud) sediments interbedded with turbidites (homogeneous mud and silt-clay couplets). The cyclic and laminated nature of these pelagic sediments represents alternation between the deposition of diatom-rich biogenic sediments and of terrigenous sediments. Sediment properties and geochemical data explain the contrasting lamination, with light layers being finer-grained and relatively rich in total organic carbon and biogenic silica content. Also, the high-resolution magnetic susceptibility (MS) variations highlight distinct features: high MS values coincide with clastic-rich sections and low MS values correspond to biogenic sections. The chronology developed for core A9-EB2 accounts for anomalous ages associated with turbidites and shows a linear sedimentation rate of approximately 87 cm/10(3) yr, which is supported by an accumulation rate of 80 cm/10(3) yr calculated from Pb-210 activity. The late Holocene records clearly identify Neoglacial events of the Little Ice Age (LIA) and Medieval Warm Period (MWP). Other unexplained climatic events comparable in duration and amplitude to the LIA and MWP events also appear in the MS record, suggesting intrinsically unstable climatic conditions during the late Holocene in the Bransfield Basin of Antarctic Peninsula. (C) 2002 University of Washington.</t>
  </si>
  <si>
    <t>Pusan Natl Univ, Dept Marine Sci, Pusan 609735, South Korea; Korea Ocean Res &amp; Dev Inst, Polar Sci Lab, Ansan 425600, South Korea; Korea Ocean Res &amp; Dev Inst, Marine Environm &amp; Climate Change Lab, Ansan 425600, South Korea</t>
  </si>
  <si>
    <t>Pusan National University; Korea Institute of Ocean Science &amp; Technology (KIOST); Korea Institute of Ocean Science &amp; Technology (KIOST)</t>
  </si>
  <si>
    <t>Pusan Natl Univ, Dept Marine Sci, Pusan 609735, South Korea.</t>
  </si>
  <si>
    <t>bkkhim@pusan.ac.kr</t>
  </si>
  <si>
    <t>Bahk, Jangjun/0000-0003-1480-7414</t>
  </si>
  <si>
    <t>1096-0287</t>
  </si>
  <si>
    <t>10.1006/qres.2002.2371</t>
  </si>
  <si>
    <t>625VG</t>
  </si>
  <si>
    <t>WOS:000179835800003</t>
  </si>
  <si>
    <t>Selbmann, L; Onofri, S; Fenice, M; Federici, F; Petruccioli, M</t>
  </si>
  <si>
    <t>Production and structural characterization of the exopolysaccharide of the Antarctic fungus Phoma herbarum CCFEE 5080</t>
  </si>
  <si>
    <t>RESEARCH IN MICROBIOLOGY</t>
  </si>
  <si>
    <t>Phoma herbarum; continental Antarctica; exopolysaccharide (beta-glucan) production; structural characterization; resistance to freezing</t>
  </si>
  <si>
    <t>GANODERMA-LUCIDUM; TEMPERATURE; SCLEROGLUCAN; GROWTH; POLYSACCHARIDE; LAND; SOIL</t>
  </si>
  <si>
    <t>The filamentous fungus Phoma herbarum CCFEE 5080 isolated from continental Antarctica soil was tested for exopolysaccharide (EPS) production. The fungus grew and produced EPS (up to 13.6 g/l) on a variety of carbon sources among which sorbitol was best, particularly at the concentration of 60 g/l. EPS production was maximum when the nitrogen source was NaNO3 (3 g/l) and the incubation temperature was 28 degreesC. The polysaccharide was purified by repeated precipitation in ethanol and gel filtration and characterized as a homopolymer of glucose having a molecular weight of 7.412 x 10(6); structural analysis indicated the presence of beta-1,3 and beta-1,6 linkages only. After repeated freezing and thawing of the fungal biomass in the presence of EPS, the mycelial growth was much higher than that observed after freezing in the absence of EPS and the difference increased with the number of freeze-thaw cycles. It is hypothesized that the adaptation of P. herbarum CCFEE 5080 to the Antarctic soil microclimatic conditions, characterized by low temperature, high thermal fluctuations and repeated freeze-thaw cycles, might be related to the EPS production ability. (C) 2002 Editions scientifiques et medicales Elsevier SAS. All rights reserved.</t>
  </si>
  <si>
    <t>Univ Tuscia, Dipartimento Agrobiol &amp; Agrochim, I-01100 Viterbo, Italy; Univ Tuscia, Dipartimento Sci Ambientali, I-01100 Viterbo, Italy</t>
  </si>
  <si>
    <t>Tuscia University; Tuscia University</t>
  </si>
  <si>
    <t>Petruccioli, M (corresponding author), Univ Tuscia, Dipartimento Agrobiol &amp; Agrochim, Via San Camillo De Lellis, I-01100 Viterbo, Italy.</t>
  </si>
  <si>
    <t>Selbmann, Laura/L-3056-2013; Maurizio, Petruccioli/AAC-7811-2020; Fenice, Massimiliano/L-9195-2014</t>
  </si>
  <si>
    <t>Selbmann, Laura/0000-0002-8967-3329; Maurizio, Petruccioli/0000-0002-4180-7885; Fenice, Massimiliano/0000-0001-8504-0885; ONOFRI, Silvano/0000-0001-8872-1440</t>
  </si>
  <si>
    <t>EDITIONS SCIENTIFIQUES MEDICALES ELSEVIER</t>
  </si>
  <si>
    <t>PARIS CEDEX 15</t>
  </si>
  <si>
    <t>23 RUE LINOIS, 75724 PARIS CEDEX 15, FRANCE</t>
  </si>
  <si>
    <t>0923-2508</t>
  </si>
  <si>
    <t>RES MICROBIOL</t>
  </si>
  <si>
    <t>Res. Microbiol.</t>
  </si>
  <si>
    <t>PII S0923-2508(02)01372-4</t>
  </si>
  <si>
    <t>10.1016/S0923-2508(02)01372-4</t>
  </si>
  <si>
    <t>614MW</t>
  </si>
  <si>
    <t>WOS:000179194800005</t>
  </si>
  <si>
    <t>Freeman, MP; Watkins, NW</t>
  </si>
  <si>
    <t>The heavens in a pile of sand</t>
  </si>
  <si>
    <t>SCIENCE</t>
  </si>
  <si>
    <t>SELF-ORGANIZED CRITICALITY; DYNAMICS</t>
  </si>
  <si>
    <t>Freeman, MP (corresponding author), British Antarctic Survey, NERC, Cambridge CB3 0ET, England.</t>
  </si>
  <si>
    <t>Watkins, Nicholas Wynn/0000-0003-4484-6588; Watkins, Nick/0000-0003-4484-6588; Freeman, Mervyn/0000-0002-8653-8279</t>
  </si>
  <si>
    <t>AMER ASSOC ADVANCEMENT SCIENCE</t>
  </si>
  <si>
    <t>1200 NEW YORK AVE, NW, WASHINGTON, DC 20005 USA</t>
  </si>
  <si>
    <t>0036-8075</t>
  </si>
  <si>
    <t>Science</t>
  </si>
  <si>
    <t>10.1126/science.1075555</t>
  </si>
  <si>
    <t>609XQ</t>
  </si>
  <si>
    <t>WOS:000178932000043</t>
  </si>
  <si>
    <t>Froneman, PW; Ansorge, IJ; Vumazonke, L; Gulekana, K; Bernard, K; Webb, AM; Leukes, W; Risien, CM; Thomalla, S; Hermes, J; Knott, M; Anderson, D; Hargey, N; Jennings, M; Veitch, J; Lutjeharms, JRE; McQuaid, C</t>
  </si>
  <si>
    <t>Physical and biological variability in the Antarctic Polar Frontal Zone:: report on research cruise 103 of the MV SA Agulhas</t>
  </si>
  <si>
    <t>SOUTH AFRICAN JOURNAL OF SCIENCE</t>
  </si>
  <si>
    <t>PRINCE-EDWARD-ISLANDS; SOUTHERN-OCEAN; CIRCUMPOLAR CURRENT; CIRCULATION; TRANSPORT; DYNAMICS</t>
  </si>
  <si>
    <t>Rhodes Univ, So Ocean Grp, Dept Zool, ZA-6140 Grahamstown, South Africa; Univ Cape Town, Dept Oceanog, ZA-7701 Rondebosch, South Africa; Rhodes Univ, Dept Biotechnol, ZA-6140 Grahamstown, South Africa; Rhodes Univ, Fac Pharm, ZA-6140 Grahamstown, South Africa</t>
  </si>
  <si>
    <t>Rhodes University; University of Cape Town; Rhodes University; Rhodes University</t>
  </si>
  <si>
    <t>Froneman, PW (corresponding author), Rhodes Univ, So Ocean Grp, Dept Zool, POB 94, ZA-6140 Grahamstown, South Africa.</t>
  </si>
  <si>
    <t>Froneman, William/GLS-0460-2022; Risien, Craig M/B-8862-2008; ANSORGE, ISABELLE/AAY-7396-2020; Bernard, Kim S/J-2703-2013; Froneman, William/C-9085-2012; McQuaid, Christopher/AAT-3725-2020</t>
  </si>
  <si>
    <t>Froneman, William/0000-0003-0615-1355; Risien, Craig M/0000-0002-2826-9488; McQuaid, Christopher/0000-0002-3473-8308; Hermes, Juliet/0000-0001-7858-514X; Knott, Michael/0000-0003-0130-7832; Ansorge, Isabelle/0000-0001-7071-8147</t>
  </si>
  <si>
    <t>ACAD SCIENCE SOUTH AFRICA A S S AF</t>
  </si>
  <si>
    <t>LYNWOOD RIDGE</t>
  </si>
  <si>
    <t>PO BOX 72135, LYNWOOD RIDGE 0040, SOUTH AFRICA</t>
  </si>
  <si>
    <t>0038-2353</t>
  </si>
  <si>
    <t>S AFR J SCI</t>
  </si>
  <si>
    <t>S. Afr. J. Sci.</t>
  </si>
  <si>
    <t>11-12</t>
  </si>
  <si>
    <t>647WV</t>
  </si>
  <si>
    <t>WOS:000181117800004</t>
  </si>
  <si>
    <t>Astrobiology - a new opportunity for interdisciplinary thinking</t>
  </si>
  <si>
    <t>SPACE POLICY</t>
  </si>
  <si>
    <t>During the past decade new questions in science have emerged that require broad inter-disciplinary approaches. 'Do asteroids and comets cause extinctions?' and 'Was there, or is there, life on Mars?' are just two examples of questions that cut across planetary or astronomical sciences and biological sciences. The re-emergent science of 'astrobiology' represents a new synthesis of interdisciplinary thinking that in many respects bears similarities to what in the 18th and 19th century would have been called 'Natural Sciences'. But new astrobiology offers the scientific community, including the space community, two important possibilities. First, an opportunity to galvanize diverse scientific disciplines together to answer some fundamental questions on the relationship between life and the cosmic environment and, second, a chance to create a new environment conducive to interdisciplinary thinking. This is in contrast to the general trend that occurred during the 20th century towards increasing specialization in the sciences. During the 21st century astrobiology has the potential to open rich and productive seams of research. (C) 2002 Elsevier Science Ltd. All rights reserved.</t>
  </si>
  <si>
    <t>British Antarctic Survey, Cambridge CB1 3AR, England</t>
  </si>
  <si>
    <t>Cockell, CS (corresponding author), British Antarctic Survey, High Cross,Madingley Rd, Cambridge CB1 3AR, England.</t>
  </si>
  <si>
    <t>0265-9646</t>
  </si>
  <si>
    <t>Space Policy</t>
  </si>
  <si>
    <t>PII S0265-9646(02)00039-5</t>
  </si>
  <si>
    <t>10.1016/S0265-9646(02)00039-5</t>
  </si>
  <si>
    <t>International Relations; Social Sciences, Interdisciplinary</t>
  </si>
  <si>
    <t>International Relations; Social Sciences - Other Topics</t>
  </si>
  <si>
    <t>623BA</t>
  </si>
  <si>
    <t>WOS:000179682100002</t>
  </si>
  <si>
    <t>Gauld, ID; Wahl, DB; Broad, GR</t>
  </si>
  <si>
    <t>The suprageneric groups of the Pimplinae (Hymenoptera: Ichneumonidae):: a cladistic re-evaluation and evolutionary biological study</t>
  </si>
  <si>
    <t>ZOOLOGICAL JOURNAL OF THE LINNEAN SOCIETY</t>
  </si>
  <si>
    <t>re-classification; taxonomy</t>
  </si>
  <si>
    <t>ITOPLECTIS NARANYAE HYMENOPTERA; PHYLOGENETIC RECONSTRUCTION; HIGHER CLASSIFICATION; SPECIES-RICHNESS; TURIONELLAE; PARASITES; LOCATION; BEHAVIOR; LARVA; HYM</t>
  </si>
  <si>
    <t>The phylogenetic relationships of the suprageneric groups of the ichneumonid subfamily Pimplinae (Hymenoptera) are re-assessed using 166 morphological and biological characters for 162 species, representing all of the available described genera and subgenera. The cladistic analysis was repeated using abstracted genera, re-coded from the initial set of species, as terminal taxa. The topology of the resulting cladograms was similar. In the first (primary) analysis several genera (including Neotheronia, Itoplectis, Dolichomitus, Dreisbachia, Polysphincta, Oxyrrhexis and Zonopimpla) were not retrieved as monophyletic groups; however, all except the last were found to be monophyletic in the second analysis. These results suggest that using abstracted taxa may force a 'false monophyly' on the preselected groups. Thus we reject the use of such abstractions, preferring instead to use exemplar species that together show much of the variation that occurs within a hypothesized genus. Within the Pimplinae three major groupings were recognized, the Delomeristini (including the Perithoini syn. nov.), the Pimplini and the Ephialtini. Within the Pimplini, two generic groups were recovered, the Xanthopimpla and Pimpla genus-groups, but a third postulated group, the Theronia genus-group, was found to be paraphyletic. Within the Ephialtini five groups were recognized, the Pseudopimpla, Alophosternum, Camptotypus, Ephialtes and Sericopimpla genus-groups. The spider parasitizing complex of genera (the Polysphincta genus-complex) was found to nest within the Sericopimpla genus-group confirming the placement of Polysphinctini as a synonym of Ephialtini. Problems with the status of some existing genera are highlighted, but formal nomenclatural changes are not proposed. The ancestral Pimplinae are hypothesized to have been solitary ectoparasitic idiobionts on weakly concealed immature Hymenoptera. The major radiations within the Pimplinae are shown as: (1) a progressive exploitation of cocooned, then weakly cocooned, lepidopterous pupae in the Pimplini leading to idiobiont endoparasitism; (2) increasing specialization to attack hosts deeply concealed in wood in the Ephialtes genus-group, and (3) specialization on a variety of cocooned hosts, including spider egg sacs, leading to koinobiont ectoparasitism of spiders. A brief synopsis of the distribution of the group is given, and some biogeographical inferences drawn. The group is presumed to have originated and radiated on Laurasia; no evidence for trans-Antarctic relationships can be found. (C) 2002 The Linnean Society of London.</t>
  </si>
  <si>
    <t>Nat Hist Museum, London SW7 5BD, England; Amer Entomol Inst, Gainesville, FL 32608 USA; Imperial Coll, Dept Biol, Ascot SL5 7PY, Berks, England; Imperial Coll, Ctr Populat Biol, Ascot SL5 7PY, Berks, England</t>
  </si>
  <si>
    <t>Natural History Museum London; Imperial College London; Imperial College London</t>
  </si>
  <si>
    <t>Nat Hist Museum, Cromwell Rd, London SW7 5BD, England.</t>
  </si>
  <si>
    <t>Broad, Gavin/AAH-8317-2020</t>
  </si>
  <si>
    <t>0024-4082</t>
  </si>
  <si>
    <t>1096-3642</t>
  </si>
  <si>
    <t>ZOOL J LINN SOC-LOND</t>
  </si>
  <si>
    <t>Zool. J. Linn. Soc.</t>
  </si>
  <si>
    <t>10.1046/j.1096-3642.2002.00031.x</t>
  </si>
  <si>
    <t>609HW</t>
  </si>
  <si>
    <t>WOS:000178898400005</t>
  </si>
  <si>
    <t>Miyazaki, T; Iwami, T; Somiya, H; Meyer-Rochow, VB</t>
  </si>
  <si>
    <t>Retinal topography of ganglion cells and putative UV-sensitive cones in two Antarctic fishes:: Pagothenia borchgrevinki and Trematomus bernacchii (Nototheniidae)</t>
  </si>
  <si>
    <t>ZOOLOGICAL SCIENCE</t>
  </si>
  <si>
    <t>Antarctic fish; vision; retinal ganglion cell; UV-sensitivity; feeding strategy</t>
  </si>
  <si>
    <t>JUVENILE YELLOW PERCH; VISUAL PIGMENTS; ULTRAVIOLET PHOTORECEPTION; REEF TELEOSTS; ACUITY; RECEPTORS; ONTOGENY; BEHAVIOR; VISION; SYSTEM</t>
  </si>
  <si>
    <t>Accessory corner cones (ACC) have recently been suggested to be UV-sensitive photoreceptor cells. With a view toward explaining prey detection, we examined the topography of retinal ganglion cells and ACCs in two Antarctic nototheniids occupying different ecological niches: the cryopelagic Pagothenia borchgrevinki and the benthic Trematomus bemacchii. Isodensity maps of retinal ganglion cells showed that the main visual axis, coincident with the feeding vector, was in a forward direction in both species. Visual acuity was determined as 3.64 and 4.77 cycles/degree for the respective species. In P borchgrevinki the highest density of ACCs was associated with the eye's main visual axis. This suggested that this species uses UV-vision during forward-swims and probably in encounters with prey On the other hand, T bemacchii possessed two horizontal band-shaped high-density areas of ACCs, which stretched from temporal to nasal and ventral to peripheral retinal regions. Therefore, this species appears to use UV-vision to watch prey across the entire circumference of the lateral area and in the water column above its head.</t>
  </si>
  <si>
    <t>Mie Univ, Fac Bioresources, Dept Life Sci, Tsu, Mie 5148507, Japan; Natl Inst Radiol Sci, Dept Radiat Protect &amp; Safety, Ibaraki 3111202, Japan; Tokyo Kasei Gakuin Univ, Biol Lab, Tokyo 1940292, Japan; Int Jacobs Univ Bremen, Fac Sci &amp; Engn, D-28759 Bremen, Germany</t>
  </si>
  <si>
    <t>Mie University; National Institutes for Quantum Science &amp; Technology</t>
  </si>
  <si>
    <t>Mie Univ, Fac Bioresources, Dept Life Sci, Tsu, Mie 5148507, Japan.</t>
  </si>
  <si>
    <t>taeko@bio.mie-u.ac.jp</t>
  </si>
  <si>
    <t>MEYER-ROCHOW, V. Benno/0000-0003-1531-9244</t>
  </si>
  <si>
    <t>ZOOLOGICAL SOC JAPAN</t>
  </si>
  <si>
    <t>HONGO MT BUILDING 4F, HONGO 7-2-2, BUNKYO-KU, TOKYO, 113-0033, JAPAN</t>
  </si>
  <si>
    <t>0289-0003</t>
  </si>
  <si>
    <t>ZOOL SCI</t>
  </si>
  <si>
    <t>Zool. Sci.</t>
  </si>
  <si>
    <t>10.2108/zsj.19.1223</t>
  </si>
  <si>
    <t>647HB</t>
  </si>
  <si>
    <t>WOS:000181086400004</t>
  </si>
  <si>
    <t>Gorokhova, E</t>
  </si>
  <si>
    <t>Moult cycle and its chronology in Mysis mixta and Neomysis integer (Crustacea, Mysidacea):: implications for growth assessment</t>
  </si>
  <si>
    <t>JOURNAL OF EXPERIMENTAL MARINE BIOLOGY AND ECOLOGY</t>
  </si>
  <si>
    <t>Baltic; growth factor; growth rate; MCD; moult cycle; moult staging; mysids; temperature</t>
  </si>
  <si>
    <t>MOLT CYCLE; EUPHAUSIA-SUPERBA; ANTARCTIC KRILL; BALTIC SEA; REPRODUCTION</t>
  </si>
  <si>
    <t>The moult-staging technique was used to determine the main moult stages (MS) and their duration in laboratory-reared juveniles and subadults of Mysis mixta and Neomysis integer. The relative duration of each stage was similar for both species with premoult occupying the major part of the moult cycle (51% and 44% for M. mixta and N. integer, respectively), followed by postmoult (26% and 34%) and intermoult (23% and 22%). Effects of temperature and feeding regimes on the chronology of the moult cycle were investigated. When the duration of the moult cycle (MCD) was extended by manipulating the feeding regime, animals prolonged their late postmoult and early premoult stages. At 12 and 5 degreesC, no specific moult stage varied in relative duration as long as food supply was high. Field application of moult staging for growth assessment was tested using wild-caught M mixta. The MCD estimated via moulting experiments was compared to that obtained by analyzing moult stage distribution combined with the experimentally obtained data on stage duration. Close correspondence between two methods of MCD assessment was observed with moultstaging technique being particularly useful in situations when conducting of experiments immediately after collection is not feasible. (C) 2002 Elsevier Science B.V. All rights reserved.</t>
  </si>
  <si>
    <t>Stockholm Univ, Dept Syst Ecol, SE-10691 Stockholm, Sweden</t>
  </si>
  <si>
    <t>Gorokhova, E (corresponding author), Stockholm Univ, Dept Syst Ecol, SE-10691 Stockholm, Sweden.</t>
  </si>
  <si>
    <t>Gorokhova, Elena/E-7105-2018</t>
  </si>
  <si>
    <t>Gorokhova, Elena/0000-0002-4192-6956</t>
  </si>
  <si>
    <t>0022-0981</t>
  </si>
  <si>
    <t>J EXP MAR BIOL ECOL</t>
  </si>
  <si>
    <t>J. Exp. Mar. Biol. Ecol.</t>
  </si>
  <si>
    <t>OCT 30</t>
  </si>
  <si>
    <t>PII S0022-0981(02)00333-7</t>
  </si>
  <si>
    <t>10.1016/S0022-0981(02)00333-7</t>
  </si>
  <si>
    <t>601VJ</t>
  </si>
  <si>
    <t>WOS:000178469000006</t>
  </si>
  <si>
    <t>King, J</t>
  </si>
  <si>
    <t>Pingu's pleasure</t>
  </si>
  <si>
    <t>King, J (corresponding author), British Antarctic Survey, Cambridge CB3 0ET, England.</t>
  </si>
  <si>
    <t>OCT 26</t>
  </si>
  <si>
    <t>609BP</t>
  </si>
  <si>
    <t>WOS:000178883000050</t>
  </si>
  <si>
    <t>Hammer, A; Schumann, R; Schubert, H</t>
  </si>
  <si>
    <t>Light and temperature acclimation of Rhodomonas salina (Cryptophyceae):: photosynthetic performance</t>
  </si>
  <si>
    <t>AQUATIC MICROBIAL ECOLOGY</t>
  </si>
  <si>
    <t>bloom; cryptophytes; Rhodomonas salina; ice; photosynthesis; photoacclimation</t>
  </si>
  <si>
    <t>CRYPTOMONAS STRAIN LIS; SEA-ICE MICROALGAE; IRRADIANCE RELATIONSHIPS; MARINE-PHYTOPLANKTON; CHEMICAL-COMPOSITION; MCMURDO SOUND; GROWTH-RATE; ANTARCTIC PHYTOPLANKTON; INTENSITY ADAPTATION; PLANKTONIC COMMUNITY</t>
  </si>
  <si>
    <t>Blooms of phototrophic cryptophytes have been observed in the highly eutrophic estuarine Darss-Zingst Bodden Chain (DZBC), Germany, during prolonged periods of light limitation due to ice and snow covering. The present study analyses possible mechanisms by which Rhodomonas salina, as a surrogate for bloom forming DZBC cryptophytes, maintains large densities during these low light/low temperature conditions. Growth, photosynthetic activity and pigment content were examined under 16 combinations of temperature (5 to 20degreesC) and irradiance (10 to 150 mumol photons m(-2) s(-1)) under nutrient-saturated conditions in a seawater-based medium. R. salina was tested for its capacity to photoacclimate to different light intensities in relation to temperature by calculating the photoadaptive index E-k (light saturation point of photosynthesis, P-max/alpha). P-max, the maximum photosynthesis rate and alpha, the efficiency of light utilisation at limited light intensities remained unchanged with respect to irradiance for every temperature tested. Consequently Ek, the irradiance at which photosynthesis rate ceased to be light-limited was constant (mean 49 mumol photons m(-2) s(-1)) within the chosen range of irradiances. This indicated that R. salina failed to adapt to down-shift changes in the light regime, at least in terms of photosynthetic parameters. Pigmentation analyses supported these results showing no acclimation of pigment ratios with regard to growth irradiance for a particular temperature. The calculated irradiance needed for 0 net photosynthesis (E-c was about 26 mumol photons m(-2) s(-1) and did not show any significant variation in light or temperature. The failure of R. salina to respond to down-shift changes in the light regime did not result, however, in a reduction in growth at low irradiances (10 mumol photons m(-2) s(-1)). Judging from these results, R. salina seems to pursue an alternative strategy to capture energy under low light conditions which we hypothesise to be uptake of dissolved organic carbon from the seawater-based medium. Follow-up research will concentrate on the relative contribution of heterotrophy to the overall nutrition of R. salina under white ice covering.</t>
  </si>
  <si>
    <t>Univ Rostock, Inst Aquat Ecol, Dept Life Sci, D-18051 Rostock, Germany; Ernst Moritz Arndt Univ Greifswald, Inst Ecol, D-17487 Greifswald, Germany</t>
  </si>
  <si>
    <t>University of Rostock; Universitat Greifswald</t>
  </si>
  <si>
    <t>Univ Rostock, Inst Aquat Ecol, Dept Life Sci, Albert Einstein Str 3, D-18051 Rostock, Germany.</t>
  </si>
  <si>
    <t>astrid.hammer@stud.uni-rostock.de</t>
  </si>
  <si>
    <t>0948-3055</t>
  </si>
  <si>
    <t>1616-1564</t>
  </si>
  <si>
    <t>AQUAT MICROB ECOL</t>
  </si>
  <si>
    <t>Aquat. Microb. Ecol.</t>
  </si>
  <si>
    <t>OCT 23</t>
  </si>
  <si>
    <t>10.3354/ame029287</t>
  </si>
  <si>
    <t>Ecology; Marine &amp; Freshwater Biology; Microbiology</t>
  </si>
  <si>
    <t>Environmental Sciences &amp; Ecology; Marine &amp; Freshwater Biology; Microbiology</t>
  </si>
  <si>
    <t>615QF</t>
  </si>
  <si>
    <t>WOS:000179257300007</t>
  </si>
  <si>
    <t>Mock, T; Dieckmann, GS; Haas, C; Krell, A; Tison, JL; Belem, AL; Papadimitriou, S; Thomas, DN</t>
  </si>
  <si>
    <t>Micro-optodes in sea ice: a new approach to investigate oxygen dynamics during sea ice formation</t>
  </si>
  <si>
    <t>Fragilariopsis cylindrus; oxygen; methods; micro-optodes; sea ice; biogeochemistry</t>
  </si>
  <si>
    <t>WEDDELL-SEA; ALGAL COMMUNITY; PLATELET ICE; ANTARCTICA; BRINE; BIOGEOCHEMISTRY; MICROELECTRODES; SEDIMENTS; EVOLUTION; BIOMASS</t>
  </si>
  <si>
    <t>Oxygen micro-optodes were used to measure oxygen dynamics directly within the microstructure of sea ice by freezing the sensors into the ice during its formation, The experiment was conducted in a 4 m(3) mesocosm filled with artificial seawater and inoculated with a unialgal culture of the common Antarctic ice diatom Fragilariopsis cylindrus (Bacillariophyceae) to a final chlorophyll a (chl a) concentration of 11 mug l(-1). Ice growth was initiated 7 d after inoculation by reducing the air temperature to -10 +/- 2degreesC and terminated 17 d later. The final ice thickness was 27 cm. One optode was frozen into grease ice and 2 others into the skeletal layer of the growing ice sheet. Increasing oxygen concentrations during ice crystal formation at the water surface and the ice-water interface revealed a strong inclusion of oxygen, which was either physically trapped and/or the result of photosynthesising diatoms. The major portion of oxygen was present as gas bubbles due to supersaturation as a result of increasing salinity and oxygen production by diatoms. An increase in salinity due to a concurrent decrease in ice temperatures during subsequent sea ice development reduced the maximum concentration of dissolved oxygen within brine. Thus, dissolved oxygen concentrations decreased over time, whereas gaseous oxygen was released to the atmosphere and seawater. The sensors are a significant advance on more conventional microelectrodes, because the recordings can be temperature and salinity compensated in order to obtain precise measurements of oxygen dynamics with regard to total (dissolved and gaseous) and dissolved oxygen in sea ice. Optodes do not consume oxygen during measurement over a long period under extreme conditions, which is another advantage for long-term deployment in the field.</t>
  </si>
  <si>
    <t>Alfred Wegener Inst Polar &amp; Marine Res, D-27570 Bremerhaven, Germany; Free Univ Brussels, Dept Sci Terre &amp; Environm, B-1050 Brussels, Belgium; Univ Wales, Sch Ocean Sci, Anglesey LL59 5AB, Wales</t>
  </si>
  <si>
    <t>Helmholtz Association; Alfred Wegener Institute, Helmholtz Centre for Polar &amp; Marine Research; Universite Libre de Bruxelles; Bangor University</t>
  </si>
  <si>
    <t>Mock, T (corresponding author), Alfred Wegener Inst Polar &amp; Marine Res, Handelshafen 12, D-27570 Bremerhaven, Germany.</t>
  </si>
  <si>
    <t>Mock, Thomas/A-3127-2008; Papadimitriou, Stratos/M-2076-2019; Belem, Andre L/C-8682-2013; Haas, Christian/L-5279-2016; Dieckmann, Gerhard S/B-4307-2010; Thomas, David Neville/B-1448-2010; Albuquerque, Ana Luiza S/C-5167-2013; PAPADIMITRIOU, STRATOS/C-5256-2013; Tison, Jean-Louis/F-4065-2015</t>
  </si>
  <si>
    <t>Mock, Thomas/0000-0001-9604-0362; Belem, Andre L/0000-0002-8865-6180; Haas, Christian/0000-0002-7674-3500; Thomas, David Neville/0000-0001-8832-5907; Papadimitriou, Stathys/0000-0001-8540-1169; Tison, Jean-Louis/0000-0002-9758-3454</t>
  </si>
  <si>
    <t>10.3354/ame029297</t>
  </si>
  <si>
    <t>Green Published, Bronze, Green Submitted</t>
  </si>
  <si>
    <t>WOS:000179257300008</t>
  </si>
  <si>
    <t>Carginale, V; Capasso, C; Scudiero, R; Parisi, E</t>
  </si>
  <si>
    <t>Identification of cadmium-sensitive genes in the Antarctic fish Chionodraco hamatus by messenger RNA differential display</t>
  </si>
  <si>
    <t>GENE</t>
  </si>
  <si>
    <t>reverse Northern dot-blot; apoptosis; HSP70; T2K protein kinase</t>
  </si>
  <si>
    <t>NF-KAPPA-B; METALLOTHIONEIN ISOFORMS; SPECIAL EMPHASIS; IRON-METABOLISM; APOPTOSIS; CARCINOGENESIS; TRANSCRIPTION; ACCUMULATION; EXPRESSION; PROTEINS</t>
  </si>
  <si>
    <t>To investigate the ability of cadmium to affect gene transcription in fish, the messenger RNA (mRNA) differential display technique was used to analyze gene expression in the Antarctic icefish Chionodraco hamatus exposed to sublethal doses of cadmium salt. Seven DNA complementary to RNA (cDNA) bands whose steady-state levels of expression significantly changed in response to cadmium exposure were identified. The results obtained show that two groups of genes are affected by cadmium in icefish liver. The first group comprises genes that are up-regulated by the metal: in particular, a gene encoding the heat-shock protein HSP70 and another encoding a protein homologous to GP49 of Sparus aurata egg envelope. The other group comprises genes down-regulated by cadmium. These are the transferrin gene and a gene encoding a protein presenting homology to mouse T2K, a kinase having a role in the prevention of apoptosis. Three cDNAs had no homology to known gene sequences, thus suggesting that may either encode not yet identified proteins, or correspond to untranslated regions of mRNA molecules. (C) 2002 Elsevier Science B.V. All rights reserved.</t>
  </si>
  <si>
    <t>CNR, Inst Prot Biochem, I-80125 Naples, Italy; Univ Naples Federico II, Dept Evolutionary &amp; Comparat Biol, Naples, Italy</t>
  </si>
  <si>
    <t>Consiglio Nazionale delle Ricerche (CNR); Istituto di Biochimica delle Proteine (IBP-CNR); University of Naples Federico II</t>
  </si>
  <si>
    <t>carginal@dafne.ibpe.na.cnr.it</t>
  </si>
  <si>
    <t>Scudiero, Rosaria/AAI-2119-2020; CAPASSO, CLEMENTE/P-3522-2016; Carginale, Vincenzo/N-2531-2014</t>
  </si>
  <si>
    <t>Scudiero, Rosaria/0000-0002-8186-9722; CAPASSO, CLEMENTE/0000-0003-3314-2411; Carginale, Vincenzo/0000-0002-1842-494X</t>
  </si>
  <si>
    <t>0378-1119</t>
  </si>
  <si>
    <t>1879-0038</t>
  </si>
  <si>
    <t>Gene</t>
  </si>
  <si>
    <t>OCT 16</t>
  </si>
  <si>
    <t>PII S0378-1119(02)01020-X</t>
  </si>
  <si>
    <t>10.1016/S0378-1119(02)01020-X</t>
  </si>
  <si>
    <t>Genetics &amp; Heredity</t>
  </si>
  <si>
    <t>625XV</t>
  </si>
  <si>
    <t>WOS:000179841600010</t>
  </si>
  <si>
    <t>Aoki, S</t>
  </si>
  <si>
    <t>Coherent sea level response to the Antarctic Oscillation</t>
  </si>
  <si>
    <t>BOTTOM PRESSURE MEASUREMENTS; CIRCUMPOLAR CURRENT; EXTRATROPICAL CIRCULATION; DRAKE PASSAGE; ANNULAR MODES; WIND; TRANSPORT; VARIABILITY; ICE</t>
  </si>
  <si>
    <t>Large-scale sea level variations around Antarctica were studied and their relationship with atmospheric variations was investigated. Tide gauge data at five coastal stations were used. Coherent sea level variations were clearly detected for all stations on intraseasonal time scales. The coherent variations had significant negative correlations with an index of the atmospheric annular mode variation (Antarctic Oscillation). Coherence was significant for periods from 10 to 100 days with negligible time lag. The negative correlation is consistent with the mechanism that a high (low) westerly anomaly leads to a stronger (weaker) northward Ekman drift and causes divergence (convergence) around Antarctica.</t>
  </si>
  <si>
    <t>Natl Inst Polar Res, Ctr Antarctic Environm Monitoring, Itabashi Ku, Tokyo 1738515, Japan</t>
  </si>
  <si>
    <t>Aoki, S (corresponding author), Natl Inst Polar Res, Ctr Antarctic Environm Monitoring, Itabashi Ku, Tokyo 1738515, Japan.</t>
  </si>
  <si>
    <t>Aoki, Shigeru/D-9105-2012</t>
  </si>
  <si>
    <t>OCT 15</t>
  </si>
  <si>
    <t>10.1029/2002GL015733</t>
  </si>
  <si>
    <t>639BL</t>
  </si>
  <si>
    <t>WOS:000180607700011</t>
  </si>
  <si>
    <t>Röthlisberger, R; Mulvaney, R; Wolff, EW; Hutterli, MA; Bigler, M; Sommer, S; Jouzel, J</t>
  </si>
  <si>
    <t>Dust and sea salt variability in central East Antarctica (Dome C) over the last 45 kyrs and its implications for southern high-latitude climate -: art. no. 1963</t>
  </si>
  <si>
    <t>ICE CORE; GLACIAL MAXIMUM; PERIOD</t>
  </si>
  <si>
    <t>A detailed record of non-sea-salt calcium, a proxy for dust, and sea-salt sodium, a proxy for sea salt, covering the last 45 kyr is presented. It shows that in the first part of the transition from the last glacial period to the Holocene (18-15 kyr BP), the changes in dust flux mainly reflect changes at the dust source, namely vegetation cover and local climate. The changes in the later part of the transition (12-11 kyr BP) are similar in extent to the changes seen in sea salt and most likely reflect a reorganization of the atmospheric circulation. During the last glacial period, considerable variation of dust but not of sea salt is observed, pointing to climatic changes in Patagonia, the main dust source for Dome C. A comparison of the glacial records from Dome C and Taylor Dome suggests that similar influences controlled aerosol input at both sites during this period.</t>
  </si>
  <si>
    <t>British Antarctic Survey, Cambridge CB3 0ET, England; Univ Bern, CH-3012 Bern, Switzerland; Univ Arizona, Dept Hydrol &amp; Water Resources, Tucson, AZ 85721 USA; CEA Saclay, DSM CE, IPSL, Lab Sci Climat &amp; Environm, F-91191 Gif Sur Yvette, France</t>
  </si>
  <si>
    <t>UK Research &amp; Innovation (UKRI); Natural Environment Research Council (NERC); NERC British Antarctic Survey; University of Bern; University of Arizona; Universite Paris Cite; Universite Paris Saclay; CEA; Centre National de la Recherche Scientifique (CNRS)</t>
  </si>
  <si>
    <t>Röthlisberger, R (corresponding author), British Antarctic Survey, High Cross,Madingley Rd, Cambridge CB3 0ET, England.</t>
  </si>
  <si>
    <t>Wolff, Eric W/D-7925-2014; Bigler, Matthias/HTT-3872-2023; Bishnoi, Mamta/AAQ-8346-2021; Mulvaney, Robert/K-3929-2012</t>
  </si>
  <si>
    <t>Wolff, Eric W/0000-0002-5914-8531; Bigler, Matthias/0000-0003-0184-4013; Bishnoi, Mamta/0000-0003-4987-0536; Mulvaney, Robert/0000-0002-5372-8148</t>
  </si>
  <si>
    <t>10.1029/2002GL015186</t>
  </si>
  <si>
    <t>WOS:000180607700024</t>
  </si>
  <si>
    <t>Schneider, DP; Steig, EJ</t>
  </si>
  <si>
    <t>Spatial and temporal variability of Antarctic ice sheet microwave brightness temperatures</t>
  </si>
  <si>
    <t>GREENLAND; CLIMATE; TRENDS; EXTENT</t>
  </si>
  <si>
    <t>Annual and interannual variability of 21 years of passive microwave brightness temperatures on the Antarctic ice sheet is documented through principal component analysis. The leading modes show that brightness temperatures are dominantly forced by the annual temperature cycle, with surface melting signals explaining about 5% of the total variance of the data. Analysis of the data with the annual cycle and melting signals removed results in two significant interannual modes. The first is consistent with the Antarctic Oscillation and its influence on Antarctic surface temperatures, while the second reflects regional scale variability that appears to be linked to sea-ice anomalies and the El Nino-Southern Oscillation. The expression of these characteristic patterns of Southern Hemisphere climate variability on the Antarctic continent provides a framework for interpreting modern climate records, as well as a basis for reconstructing past climate variability with ice cores.</t>
  </si>
  <si>
    <t>Schneider, DP (corresponding author), Univ Washington, Dept Earth &amp; Space Sci, Box 351310, Seattle, WA 98195 USA.</t>
  </si>
  <si>
    <t>Schneider, David/E-2726-2010; /G-9088-2015</t>
  </si>
  <si>
    <t>Schneider, David/0000-0001-5308-1834; /0000-0002-8191-5549</t>
  </si>
  <si>
    <t>10.1029/2002GL015490</t>
  </si>
  <si>
    <t>WOS:000180607700025</t>
  </si>
  <si>
    <t>Wolff, EW; Jones, AE; Martin, TJ; Grenfell, TC</t>
  </si>
  <si>
    <t>Modelling photochemical NOX production and nitrate loss in the upper snowpack of Antarctica -: art. no. 1944</t>
  </si>
  <si>
    <t>SOUTH-POLE; H2O2; ICE; CHEMISTRY; RADIATION; AEROSOLS; SURFACE; NITRITE; ISCAT; FIRN</t>
  </si>
  <si>
    <t>Experimental observations have shown photochemical production in the upper layers of firn. We use a modeling approach for Antarctica in summer, calculating the actinic flux in snowpack, and estimating NOX production from nitrate photolysis. Assuming nitrate photolysis is about as efficient for ice as for aqueous solution, and that all nitrate in the ice is available for photolysis, we find good agreement with measured fluxes of NOX from the snow surface at Neumayer Station, Antarctica. We estimate fluxes for other sites, and confirm that they could significantly affect boundary layer chemistry, especially where an atmospheric surface temperature inversion is present. We find that there is considerably more NOX production in the upper snowpack than in the entire tropospheric column above it. Photolysis explains a proportion of the nitrate loss observed from snow at some sites, but other processes (sorption/desorption) are necessary to explain the magnitude and depth profiles observed.</t>
  </si>
  <si>
    <t>British Antarctic Survey, NERC, Cambridge CB3 0ET, England; Graz Univ, Inst Geophys Astrophys &amp; Meteorol, A-8010 Graz, Austria; Univ Washington, Dept Atmospher Sci, Seattle, WA 98195 USA</t>
  </si>
  <si>
    <t>UK Research &amp; Innovation (UKRI); Natural Environment Research Council (NERC); NERC British Antarctic Survey; University of Graz; University of Washington; University of Washington Seattle</t>
  </si>
  <si>
    <t>Wolff, EW (corresponding author), British Antarctic Survey, NERC, High Cross,Madingley Rd, Cambridge CB3 0ET, England.</t>
  </si>
  <si>
    <t>Martin, Tara J/F-2570-2017; Wolff, Eric W/D-7925-2014</t>
  </si>
  <si>
    <t>10.1029/2002GL015823</t>
  </si>
  <si>
    <t>WOS:000180607700005</t>
  </si>
  <si>
    <t>Whitehead, JM; McMinn, A</t>
  </si>
  <si>
    <t>Kerguelen Plateau Quaternary-late Pliocene palaeoenvironments: from diatom, silicoflagellate and sedimentological data</t>
  </si>
  <si>
    <t>Antarctica; Southern Ocean; Kerguelen Plateau; Quaternary; Pliocene; diatom; sediment</t>
  </si>
  <si>
    <t>ANTARCTIC ICE-SHEET; MAURICE-EWING-BANK; DEEP-SEA CORES; SOUTHERN-OCEAN; WEDDELL SEA; ATLANTIC SECTOR; SURFACE SEDIMENTS; MCMURDO SOUND; ROSS SEA; PHYTOPLANKTON</t>
  </si>
  <si>
    <t>Gravity cores from the South Kerguelen Plateau contain sections representing two Quaternary intervals: (1) &lt; 0.62 Ma and (2) 1.6-1.25 Ma; three Pliocene intervals: (1) 2.2-1.6 Ma, (2) 3.1/3.0-2.64 Ma, (3) 3.2-3.1/3.0 Ma, and at least three disconformities: (1) 0.62 Ma until possibly the Last Glacial Maximum, (2) 2.2-1.6 Ma, and (3) 3.12.2 Ma. The disconformities probably formed during intense glacial intervals when the velocity of the Antarctic Circumpolar Current increased. Increased current velocity winnowed away finer biogenic sediment, to create ice rafted debris lags that protected the underlying sediment. Sediment deposition occurred during the less cold climatic intervals. In these deposits, three diatom assemblages were identified by comparison with extant diatoms. The diatom data indicate fluctuating Quaternary open pack-ice and open water conditions. The open pack-ice assemblage differs from modern sea-ice assemblages, and may reflect differences in the sea-ice setting during past colder intervals at latitudes north of the Antarctic Divergence. A silicoflagellate ratio was used to reconstruct Pliocene summer sea-surface temperatures. Two intervals with surface water temperatures warmer than today were identified, during which conditions were 3.0-4.5degreesC warmer (3.1-2.64 Ma), and 4.5degreesC warmer (3.2-3.1 Ma) as far south as 62degreesS. This would have occurred if either the Antarctic Polar Front Zone was similar to1200 km further south, or if the temperature gradient across the associated oceanic fronts would have been significantly lower. The Pliocene intervals contain a large amount of ice rafted debris that may reflect an environment heavily influenced by icebergs due to warmer glacial conditions in Antarctica, with increased sediment discharge and iceberg calving. (C) 2002 Elsevier Science B.V. All rights reserved.</t>
  </si>
  <si>
    <t>Univ Tasmania, Antarctic Cooperat Res Ctr, Hobart, Tas 7001, Australia; Univ Tasmania, Inst Antarctic &amp; So Ocean Studies, Hobart, Tas 7001, Australia</t>
  </si>
  <si>
    <t>Whitehead, JM (corresponding author), Univ Nebraska, Dept Geol, Lincoln, NE 68588 USA.</t>
  </si>
  <si>
    <t>jm_whitehead@hotmail.com; andrew.mcminn@utas.edu.au</t>
  </si>
  <si>
    <t>PII S0031-0182(02)00424-8</t>
  </si>
  <si>
    <t>10.1016/S0031-0182(02)00424-8</t>
  </si>
  <si>
    <t>609UF</t>
  </si>
  <si>
    <t>WOS:000178922400008</t>
  </si>
  <si>
    <t>Díaz-Marrero, AR; Cueto, M; Dorta, E; Rovirosa, J; San-Martín, A; Darias, J</t>
  </si>
  <si>
    <t>New halogenated monoterpenes from the red alga Plocamium cartilagineum</t>
  </si>
  <si>
    <t>TETRAHEDRON</t>
  </si>
  <si>
    <t>ANTARCTIC PANTONEURA-PLOCAMIOIDES; MARINE ALGA</t>
  </si>
  <si>
    <t>Three new halogenated monoterpenes, 1-3, have been isolated from Plocamium cartilagineum. The structure and relative stereochemistry of these compounds were determined by spectroscopic data. Also the relative stereochemistry at C-7 for furoplocamioids A-C has been assigned. (C) 2002 Elsevier Science Ltd. All rights reserved.</t>
  </si>
  <si>
    <t>CSIC, Inst Prod Nat &amp; Agrobiol, San Cristobal la Laguna 38206, Tenerife, Spain; Univ Chile, Fac Ciencias, Dept Quim, Santiago, Chile</t>
  </si>
  <si>
    <t>Consejo Superior de Investigaciones Cientificas (CSIC); CSIC - Instituto de Productos Naturales y Agrobiologia (IPNA); Universidad de Chile</t>
  </si>
  <si>
    <t>Darias, J (corresponding author), CSIC, Inst Prod Nat &amp; Agrobiol, Avda Astrofis F Sanchez 3,Apdo 195, San Cristobal la Laguna 38206, Tenerife, Spain.</t>
  </si>
  <si>
    <t>jdarias@ipna.csic.es</t>
  </si>
  <si>
    <t>Darias, Jose/HMV-0531-2023; Marrero, Ana R. Díaz/L-2899-2014; Cueto, Mercedes/L-3185-2014</t>
  </si>
  <si>
    <t>Marrero, Ana R. Díaz/0000-0002-8886-7519; Cueto, Mercedes/0000-0002-9112-6877</t>
  </si>
  <si>
    <t>0040-4020</t>
  </si>
  <si>
    <t>Tetrahedron</t>
  </si>
  <si>
    <t>OCT 14</t>
  </si>
  <si>
    <t>PII S0040-4020(02)01019-0</t>
  </si>
  <si>
    <t>10.1016/S0040-4020(02)01019-0</t>
  </si>
  <si>
    <t>Chemistry, Organic</t>
  </si>
  <si>
    <t>604MF</t>
  </si>
  <si>
    <t>WOS:000178624700019</t>
  </si>
  <si>
    <t>Wiebusch, C</t>
  </si>
  <si>
    <t>AMANDA COLLABORATION</t>
  </si>
  <si>
    <t>Results from AMANDA</t>
  </si>
  <si>
    <t>MODERN PHYSICS LETTERS A</t>
  </si>
  <si>
    <t>astroparticle physics; AMANDA; IceCube; neutrino; South Pole; AGN</t>
  </si>
  <si>
    <t>HIGH-ENERGY NEUTRINOS; TELESCOPE</t>
  </si>
  <si>
    <t>The Antarctic Muon and Neutrino Detector Array (AMANDA) is a high-energy neutrino telescope operating at the geographic South Pole, It is a lattice of photo-multiplier tubes buried deep in the polar ice. The primary goal of this detector is to discover astrophysical sources of high energy neutrinos. We describe the detector methods of operation and present results from the AMANDA-B10 prototype. We demonstrate the improved sensitivity of the current AMANDA-II detector. We conclude with an outlook to the envisioned sensitivity of the future IceCube detector.</t>
  </si>
  <si>
    <t>CERN, Div EP, CH-1211 Geneva 23, Switzerland</t>
  </si>
  <si>
    <t>European Organization for Nuclear Research (CERN)</t>
  </si>
  <si>
    <t>Wiebusch, C (corresponding author), CERN, Div EP, CH-1211 Geneva 23, Switzerland.</t>
  </si>
  <si>
    <t>christopher.wiebusch@cern.ch</t>
  </si>
  <si>
    <t>Hallgren, Allan/A-8963-2013; Hundertmark, Stephan/A-6592-2010; Wiebusch, Christopher H.V./G-6490-2012; Gaug, Markus/L-2340-2014; DeYoung, Tyce/O-6895-2019; Kowalski, Marek/G-5546-2012</t>
  </si>
  <si>
    <t>Wiebusch, Christopher H.V./0000-0002-6418-3008; Gaug, Markus/0000-0001-8442-7877; DeYoung, Tyce/0000-0003-4873-3783; Kowalski, Marek/0000-0001-8594-8666; Resconi, Elisa/0000-0003-0705-2770; Rhode, Wolfgang/0000-0003-2636-5000; Cooley, Jodi/0000-0001-6761-2042; Burgess, Thomas/0000-0002-6993-5918</t>
  </si>
  <si>
    <t>WORLD SCIENTIFIC PUBL CO PTE LTD</t>
  </si>
  <si>
    <t>SINGAPORE</t>
  </si>
  <si>
    <t>5 TOH TUCK LINK, SINGAPORE 596224, SINGAPORE</t>
  </si>
  <si>
    <t>0217-7323</t>
  </si>
  <si>
    <t>1793-6632</t>
  </si>
  <si>
    <t>MOD PHYS LETT A</t>
  </si>
  <si>
    <t>Mod. Phys. Lett. A</t>
  </si>
  <si>
    <t>OCT 10</t>
  </si>
  <si>
    <t>10.1142/S0217732302008575</t>
  </si>
  <si>
    <t>Astronomy &amp; Astrophysics; Physics, Nuclear; Physics, Particles &amp; Fields; Physics, Mathematical</t>
  </si>
  <si>
    <t>Astronomy &amp; Astrophysics; Physics</t>
  </si>
  <si>
    <t>619NQ</t>
  </si>
  <si>
    <t>WOS:000179483000001</t>
  </si>
  <si>
    <t>Polarization of competition increases with latitude</t>
  </si>
  <si>
    <t>PROCEEDINGS OF THE ROYAL SOCIETY B-BIOLOGICAL SCIENCES</t>
  </si>
  <si>
    <t>interference competition; hierarchies; transitivity; disturbance</t>
  </si>
  <si>
    <t>OVERGROWTH COMPETITION; SPATIAL COMPETITION; DIVERSITY GRADIENTS; COMMUNITY; INVERTEBRATES; RECRUITMENT; ENVIRONMENTS; HIERARCHIES; ASSEMBLAGE; HYPOTHESES</t>
  </si>
  <si>
    <t>Many organisms overlap in their use of resources in space and time. Where and when resources are restricted, species must compete for them. Living space, often a critical resource controlling food and mate availability, is directly contested by organisms in most habitats. The ensuing animal interactions generally result in a winner gaining space and a loser, which may die. Contact matrices from studies of interference competition in encrusting marine Bryozoa (clonal and colonial animals), spanning at least 60degrees latitude in both hemispheres, were analysed and subjected to a modern transitivity index. Only data for Bryozoa were used because (i) use of a single taxon with restricted ecology simplifies the scope for types of encounters, (and therefore) interpretation; and (ii) ecological bias is reduced because bryozoans are abundant at all latitudes. The analysis shows that assemblage competition is more hierarchical towards both poles. Thus, poorer competitors fail more frequently in interactions with increasing latitude. The cause of this trend is the simplification of overall outcomes between competitors, such as fewer ties, reversals in outcome or competitive loops (where low-ranking competitors beat those of higher ranking). The implication of such a trend is that the maintenance of biological diversity at high latitudes may principally be by physical rather than biological (competition) processes. Certainly, ocean surface energy increases with latitude through wind and wave action (and ice scour in polar regions).</t>
  </si>
  <si>
    <t>ROYAL SOC</t>
  </si>
  <si>
    <t>6-9 CARLTON HOUSE TERRACE, LONDON SW1Y 5AG, ENGLAND</t>
  </si>
  <si>
    <t>0962-8452</t>
  </si>
  <si>
    <t>P ROY SOC B-BIOL SCI</t>
  </si>
  <si>
    <t>Proc. R. Soc. B-Biol. Sci.</t>
  </si>
  <si>
    <t>OCT 7</t>
  </si>
  <si>
    <t>10.1098/rspb.2002.2105</t>
  </si>
  <si>
    <t>Biology; Ecology; Evolutionary Biology</t>
  </si>
  <si>
    <t>Life Sciences &amp; Biomedicine - Other Topics; Environmental Sciences &amp; Ecology; Evolutionary Biology</t>
  </si>
  <si>
    <t>604AN</t>
  </si>
  <si>
    <t>WOS:000178593600013</t>
  </si>
  <si>
    <t>Henry, C; Woodhouse, JH; Das, S</t>
  </si>
  <si>
    <t>Stability of earthquake moment tensor inversions: effect of the double-couple constraint</t>
  </si>
  <si>
    <t>TECTONOPHYSICS</t>
  </si>
  <si>
    <t>Symposium of the Working-Group-on-Moment-Tensor-Determination</t>
  </si>
  <si>
    <t>LISBON, PORTUGAL</t>
  </si>
  <si>
    <t>seismic moment tensor; Antarctic Plate earthquake 1998; Wharton Basin earthquake 2000; Biak, Indonesia earthquake 1996; inversion of seismograms; stability of inversion; seismic source</t>
  </si>
  <si>
    <t>ANTARCTIC PLATE EARTHQUAKE; SOURCE PARAMETERS; SOURCE MECHANISMS; MARCH 25; RUPTURE; SEISMICITY; SPECTRA</t>
  </si>
  <si>
    <t>We show that spurious large non-double-couple components can be obtained in inversions for the full deviatoric moment tensor for shallow crustal earthquakes due to inaccurate Earth models. The traditional best double-couple solution does not in general provide an optimal estimate of a double-couple mechanism, and is only reliable when the non-double-couple component of the full deviatoric solution is small. The inverse problem for the moment tensors of the 1998 Antarctic Plate and 2000 Wharton Basin strike-slip earthquakes is shown in each case to have two well-fitting minima in the misfit function of pure double-couple solutions. Such pairs of solutions are most likely to exist for earthquakes which are close either to vertical strike-slip or to dip-slip on a fault plane dipping at 45degrees. It is shown theoretically that these pairs of solutions arise from the combination of the pure double-couple constraint and the instability of two elements of the moment tensor. No significant non-double-couple component is found for the shallow thrusting 1996 Biak, Indonesia earthquake. (C) 2002 Elsevier Science B.V. All rights reserved.</t>
  </si>
  <si>
    <t>Univ Oxford, Dept Earth Sci, Oxford OX1 3PR, England</t>
  </si>
  <si>
    <t>University of Oxford</t>
  </si>
  <si>
    <t>Univ Oxford, Dept Earth Sci, Parks Rd, Oxford OX1 3PR, England.</t>
  </si>
  <si>
    <t>das@earth.ox.ac.uk</t>
  </si>
  <si>
    <t>0040-1951</t>
  </si>
  <si>
    <t>1879-3266</t>
  </si>
  <si>
    <t>Tectonophysics</t>
  </si>
  <si>
    <t>PII S0040-1951(02)00379-7</t>
  </si>
  <si>
    <t>10.1016/S0040-1951(02)00379-7</t>
  </si>
  <si>
    <t>603WQ</t>
  </si>
  <si>
    <t>WOS:000178584500007</t>
  </si>
  <si>
    <t>Burton, GR; Morgan, VI; Boutron, CF; Rosman, KJR</t>
  </si>
  <si>
    <t>High-sensitivity measurements of strontium isotopes in polar ice</t>
  </si>
  <si>
    <t>ANALYTICA CHIMICA ACTA</t>
  </si>
  <si>
    <t>strontium; TIMS; isotope ratios; polar ice; LGM; Holocene</t>
  </si>
  <si>
    <t>GREENLAND ICE; CADMIUM CONCENTRATIONS; ANTARCTIC ICE; DOME-C; LEAD; DUST; STAGE-2; ORIGIN; CORE; SNOW</t>
  </si>
  <si>
    <t>Techniques have been developed to measure the isotopic composition and concentration of Sr at sub-nanogram per gram levels in polar snow and ice samples. A Sr-84 spike was used to determine Sr concentrations on a single sample aliquot of a few millilitre. Microlitre scale columns of Sr-Spec resin were used to purify Sr samples. Thermal ionisation mass spectrometry (TIMS) was used to measure the Sr isotopic ratios. A single TIMS measurement of the Sr sample yielded both isotopic composition and concentration after deconvolution of spike and sample spectra. This allows isotopic variations in Sr to be used to identify source regions of crustal dust. Early Holocene and last glacial maximum ice core samples from both Antarctica and Greenland were analysed to demonstrate the applicability of the technique. Sr isotopes were analysed in similar to20 g sized samples of Antarctic early Holocene ice where the concentration was only similar to31 pg g(-1). This represents an improvement of two orders of magnitude in sample consumption over previous studies allowing for a much higher time resolution in the analysis of polar ice cores. (C) 2002 Elsevier Science B.V. All rights reserved.</t>
  </si>
  <si>
    <t>Curtin Univ Technol, Dept Appl Phys, Perth, WA 6845, Australia; Antarctic Cooperat Res Ctr, Australian Antarctic Div, Hobart, Tas 7001, Australia; CNRS, Lab Glaciol &amp; Geophys Environm, F-38402 St Martin Dheres, France</t>
  </si>
  <si>
    <t>Burton, GR (corresponding author), Curtin Univ Technol, Dept Appl Phys, GPO Box U1987, Perth, WA 6845, Australia.</t>
  </si>
  <si>
    <t>0003-2670</t>
  </si>
  <si>
    <t>ANAL CHIM ACTA</t>
  </si>
  <si>
    <t>Anal. Chim. Acta</t>
  </si>
  <si>
    <t>OCT 3</t>
  </si>
  <si>
    <t>PII S0003-2670(02)00720-1</t>
  </si>
  <si>
    <t>10.1016/S0003-2670(02)00720-1</t>
  </si>
  <si>
    <t>Chemistry, Analytical</t>
  </si>
  <si>
    <t>598BP</t>
  </si>
  <si>
    <t>WOS:000178255500009</t>
  </si>
  <si>
    <t>Conway, H; Catania, G; Raymond, CF; Gades, AM; Scambos, TA; Engelhardt, H</t>
  </si>
  <si>
    <t>Switch of flow direction in an Antarctic ice stream</t>
  </si>
  <si>
    <t>NATURE</t>
  </si>
  <si>
    <t>WEST ANTARCTICA; SHEET; STAGNATION; CREVASSES; RETREAT; FUTURE; MARGIN; RADAR; MODEL</t>
  </si>
  <si>
    <t>Fast-flowing ice streams transport ice from the interior of West Antarctica to the ocean, and fluctuations in their activity control the mass balance of the ice sheet. The mass balance of the Ross Sea sector of the West Antarctic ice sheet is now positive-that is, it is growing-mainly because one of the ice streams (ice stream C) slowed down about 150 years ago(1). Here we present evidence from both surface measurements and remote sensing that demonstrates the highly dynamic nature of the Ross drainage system. We show that the flow in an area that once discharged into ice stream C has changed direction, now draining into the Whillans ice stream (formerly ice stream B). This switch in flow direction is a result of continuing thinning of the Whillans ice stream and recent thickening of ice stream C. Further abrupt reorganization of the activity and configuration of the ice streams over short timescales is to be expected in the future as the surface topography of the ice sheet responds to the combined effects of internal dynamics and long-term climate change. We suggest that caution is needed when using observations of short-term mass changes to draw conclusions about the large-scale mass balance of the ice sheet.</t>
  </si>
  <si>
    <t>Univ Washington, Seattle, WA 98195 USA; Univ Colorado, Natl Snow &amp; Ice Data Ctr, Boulder, CO 80309 USA; CALTECH, Pasadena, CA USA</t>
  </si>
  <si>
    <t>University of Washington; University of Washington Seattle; University of Colorado System; University of Colorado Boulder; California Institute of Technology</t>
  </si>
  <si>
    <t>Conway, H (corresponding author), Univ Washington, Seattle, WA 98195 USA.</t>
  </si>
  <si>
    <t>Scambos, Ted A/B-1856-2009; Catania, Ginny/B-9787-2008</t>
  </si>
  <si>
    <t>Catania, Ginny/0000-0002-7561-5902; Conway, Howard/0000-0003-4634-3474; SCAMBOS, Ted A./0000-0003-4268-6322</t>
  </si>
  <si>
    <t>0028-0836</t>
  </si>
  <si>
    <t>Nature</t>
  </si>
  <si>
    <t>10.1038/nature01081</t>
  </si>
  <si>
    <t>599RF</t>
  </si>
  <si>
    <t>WOS:000178348400033</t>
  </si>
  <si>
    <t>Frazer, TK; Quetin, LB; Ross, RA</t>
  </si>
  <si>
    <t>Energetic demands of larval krill, Euphausia superba, in winter</t>
  </si>
  <si>
    <t>larval antarctic krill; metabolism; O : N ratios; respiration; winter energetics</t>
  </si>
  <si>
    <t>ELEMENTAL COMPOSITION; METABOLIC-ACTIVITY; DANA; ZOOPLANKTON; TEMPERATURE; EXCRETION; GROWTH; OXYGEN; RATES; ICE</t>
  </si>
  <si>
    <t>Metabolic rates of larval and juvenile krill, Euphausia superba, were measured on board ship during three winter cruises west of the Antarctic Peninsula (June-July 1987, June 1993, and June 1994), and also under different temperature regimes and feeding conditions during long-term maintenance in the laboratory (Palmer Station, winter 1993). A mean oxygen consumption and nitrogen excretion ratio of 31.1 measured on board ship at ambient ocean temperatures suggested that larval and juvenile krill from ice-covered waters were primarily herbivorous. Results from both shipboard and laboratory experiments demonstrated that oxygen consumption increased with temperature, but that larvae subjected to acute temperature increases exhibited higher rates. Experiments conducted at near ambient water temperatures for winter were also conducted to test the effect of habitat on the energy requirements of larval and juvenile krill. A comparison of the field and laboratory studies conducted at -1.5 to -1.8 degreesC showed that larvae from ice-covered waters and fed larvae in the laboratory had oxygen consumption rates significantly higher than those of larvae collected from open, i.e. ice-free, water and those starved in the laboratory. Results of the comparison lend support to the concept that in winter, larval and juvenile krill are better fed in ice-covered waters than in open water, and to the hypothesis that ice biota in the pack ice are an important food resource in winter for larval and juvenile krill. (C) 2002 Elsevier Science B.V. All rights reserved.</t>
  </si>
  <si>
    <t>Univ Florida, Dept Fisheries &amp; Aquat Sci, Gainesville, FL 32653 USA; Univ Calif Santa Barbara, Inst Marine Sci, Santa Barbara, CA 93106 USA</t>
  </si>
  <si>
    <t>State University System of Florida; University of Florida; University of California System; University of California Santa Barbara</t>
  </si>
  <si>
    <t>Frazer, TK (corresponding author), Univ Florida, Dept Fisheries &amp; Aquat Sci, 7922 NW 71st St, Gainesville, FL 32653 USA.</t>
  </si>
  <si>
    <t>OCT 2</t>
  </si>
  <si>
    <t>PII S0022-0981(02)00328-3</t>
  </si>
  <si>
    <t>10.1016/S0022-0981(02)00328-3</t>
  </si>
  <si>
    <t>598LG</t>
  </si>
  <si>
    <t>WOS:000178277000004</t>
  </si>
  <si>
    <t>Ponomarenko, PV; Fraser, BJ; Menk, FW; Ables, ST; Morris, RJ</t>
  </si>
  <si>
    <t>Cusp-latitude Pc3 spectra: band-limited and power-law components</t>
  </si>
  <si>
    <t>magnetospheric physics; magnetopause, cusp, and boundary layers; MHD waves and instabilities; solar wind magnetosphere interactions</t>
  </si>
  <si>
    <t>SOLAR-WIND VELOCITY; INTERPLANETARY MAGNETIC-FIELD; POLAR CUSP; DAYSIDE MAGNETOSPHERE; HYDROMAGNETIC ENERGY; WAVE POWER; PULSATIONS; DEPENDENCE; MICROPULSATIONS; FREQUENCIES</t>
  </si>
  <si>
    <t>This work attempts to fill a gap in comparative studies of upstream-generated Pc3-4 waves and broad band ULF noise observed at cusp latitudes. We performed a statistical analysis of the spectral properties of three years of cusp-latitude ground magnetometer data, finding that the average daytime Pc3-4 spectra are characterized by two principal components: an upstream-related band-limited enhancement ('signal') and a power-law background ('noise') with S(f) alpha f(-4). Based on this information we developed an algorithm allowing for the deconvolution of these two components in the spectral domain. The frequency of the signal enhancement increases linearly with IMF magnitude as f[mHz] similar or equal to 4.4\B-IMF\[nT], and its power maximizes around IMF cone angles theta(xB) similar or equal to 20 and 160degrees and at 10:30-11:00 MLT. Both spectral components exhibit similar semiannual variations with equinoctial maxima. The background noise power grows with increasing southward B-z and remains nearly constant for northward B-z. Its diurnal variation resembles that of Pc5 field-line resonance power, with a maximum near 09:00MLT. Both the band-limited signal and broad band noise components show power-law growth with solar wind velocity alpha V-sw(5.71) and alpha V-sw(4.12), respectively. Thus, the effective signal-to-noise ratio increases with increasing V-sw. The observations suggest that the noise generation is associated with reconnection processes.</t>
  </si>
  <si>
    <t>Univ Newcastle, Callaghan, NSW, Australia; Australian Antarctic Div, Kingston, Tas 7150, Australia</t>
  </si>
  <si>
    <t>University of Newcastle; Australian Antarctic Division</t>
  </si>
  <si>
    <t>Ponomarenko, PV (corresponding author), Univ Newcastle, Callaghan, NSW, Australia.</t>
  </si>
  <si>
    <t>Ponomarenko, Pasha/IUQ-8133-2023; Menk, Frederick/A-2640-2009</t>
  </si>
  <si>
    <t>Ponomarenko, Pasha/0000-0001-8407-0193; Menk, Frederick/0000-0002-1154-6223</t>
  </si>
  <si>
    <t>OCT</t>
  </si>
  <si>
    <t>10.5194/angeo-20-1539-2002</t>
  </si>
  <si>
    <t>626AJ</t>
  </si>
  <si>
    <t>WOS:000179848000004</t>
  </si>
  <si>
    <t>Parkinson, ML; Dyson, PL; Pinnock, M; Devlin, JC; Hairston, MR; Yizengaw, E; Wilkinson, PJ</t>
  </si>
  <si>
    <t>Signatures of the midnight open-closed magnetic field line boundary during balanced dayside and nightside reconnection</t>
  </si>
  <si>
    <t>ionosphere; auroral ionosphere; electric fields and currents; ionosphere-magnetosphere interactions</t>
  </si>
  <si>
    <t>HF RADAR BACKSCATTER; GEOMAGNETIC-FIELD; AURORAL EMISSION; GROWTH-PHASE; POLAR-CAP; CONVECTION; CUSP; IRREGULARITIES; PLASMAPAUSE; SUPERDARN</t>
  </si>
  <si>
    <t>The geomagnetic conditions were moderately disturbed (K-p=2) during magnetic midnight on 10 December 1999, when the Tasman International Geospace Environment Radar (TIGER), a Southern Hemisphere HF SuperDARN radar, observed a persistent, sharp latitudinal decrease (similar to90km) in spectral width near similar to69degreesA. The line-of-sight Doppler velocity also rapidly declined across this spectral width boundary (SWB). The region poleward of the SWB was characterized by high spectral widths (&gt; 200 m/s), and the start of bursty equatorward and eastward flows (&gt;500 m/s), which rapidly expanded equatorward. The relationships between familiar ionospheric and magnetospheric regions were inferred by comparing TIGER data with spectrograms calculated from precipitating particles measured on board the Defence Meteorology Satellite Program (DMSP) F14 satellite. The high spectral width scatter is often observed, and on this evening it was associated with irregularities forming on the open (but soon to be reconnected) field lines threading the polar cap ionosphere to the southern tail lobe. The region equatorward of the SWB was characterized by very low spectral widths (&lt;50 m/s) and generally slower, more zonal flows (&lt;300m/s). This kind of scatter is more transient, and was associated with irregularities residing on the closed field lines threading the discrete and diffuse auroral oval to the plasma sheet boundary layer (PSBL) and central plasma sheet (CPS). Hence, the SWB was a reasonable proxy for the open-closed field line boundary, and the equatorward limit of the region, with low spectral width, was probably aligned with the poleward wall of the main ionospheric trough. The SWB was observed to contract poleward and expand equatorward on time scales of similar to10 min, much as would be expected during balanced dayside and nightside reconnection. Total electron content (TEC) measurements made at Macquarie Island (-65degreesA) and Hobart (-54degreesA), and the ionograms recorded at the same stations, as well as at Bundoora (-49degreesA), also helped to validate the interpretation.</t>
  </si>
  <si>
    <t>La Trobe Univ, Dept Phys, Bundoora, Vic 3086, Australia; British Antarctic Survey, NERC, Cambridge CB3 0ET, England; La Trobe Univ, Dept Elect Engn, Bundoora, Vic 3086, Australia; Univ Texas, William B Hanson Ctr Space Sci, Richardson, TX 75083 USA; IPS Radio &amp; Space Serv, Sydney, NSW 1240, Australia</t>
  </si>
  <si>
    <t>La Trobe University; UK Research &amp; Innovation (UKRI); Natural Environment Research Council (NERC); NERC British Antarctic Survey; La Trobe University; University of Texas System; University of Texas Dallas</t>
  </si>
  <si>
    <t>La Trobe Univ, Dept Phys, Bundoora, Vic 3086, Australia.</t>
  </si>
  <si>
    <t>m.parkinson@latrobe.edu.au</t>
  </si>
  <si>
    <t>Yizengaw, Endawoke/J-2475-2018; Yizengaw, Endawoke/I-3471-2015</t>
  </si>
  <si>
    <t>Yizengaw, Endawoke/0000-0001-5772-3355; Hairston, Marc/0000-0003-4524-4837</t>
  </si>
  <si>
    <t>COPERNICUS GESELLSCHAFT MBH</t>
  </si>
  <si>
    <t>GOTTINGEN</t>
  </si>
  <si>
    <t>BAHNHOFSALLEE 1E, GOTTINGEN, 37081, GERMANY</t>
  </si>
  <si>
    <t>1432-0576</t>
  </si>
  <si>
    <t>10.5194/angeo-20-1617-2002</t>
  </si>
  <si>
    <t>WOS:000179848000009</t>
  </si>
  <si>
    <t>Raven, JA; Johnston, AM; Kübler, JE; Korb, R; McInroy, SG; Handley, LL; Scrimgeour, CM; Walker, DI; Beardall, J; Clayton, MN; Vanderklift, M; Fredriksen, S; Dunton, KH</t>
  </si>
  <si>
    <t>Seaweeds in cold seas:: Evolution and carbon acquisition</t>
  </si>
  <si>
    <t>ANNALS OF BOTANY</t>
  </si>
  <si>
    <t>Symposium on Plants in Cold Climates and Waterlogged Soils</t>
  </si>
  <si>
    <t>SEP 10-12, 2001</t>
  </si>
  <si>
    <t>ST ANDREWS, SCOTLAND</t>
  </si>
  <si>
    <t>review; carbon dioxide; Chlorophyta; glaciations; Heterokontophyta; Phaeophyceae; Rhodophyta</t>
  </si>
  <si>
    <t>RIBOSOMAL DNA PHYLOGENY; ALGA PHYCODRYS RUBENS; INORGANIC CARBON; SNOWBALL EARTH; BANGIOPHYCIDAE RHODOPHYTA; NATURAL-ABUNDANCE; GROWTH; PHAEOPHYCEAE; TEMPERATURE; PHOTOSYNTHESIS</t>
  </si>
  <si>
    <t>Much evidence suggests that life originated in hydrothermal habitats, and for much of the time since the origin of cyanobacteria (at least 2.5 Ga ago) and of eukaryotic algae (at least 2.1 Ga ago) the average sea surface and land surface temperatures were higher than they are today. However, there have been at least four significant glacial episodes prior to the Pleistocene glaciations. Two of these (approx. 2.1 and 0.7 Ga ago) may have involved a 'Snowball Earth' with a very great impact on the algae (sensu lato) of the time (cyanobacteria, Chlorophyta and Rhodophyta) and especially those that were adapted to warm habitats, By contrast, it is possible that heterokont, dinophyte and haptophyte phototrophs only evolved after the Carboniferous-Permian ice age (approx. 250 Ma ago) and so did not encounter low (less than or equal to5 degreesC) sea surface temperatures until the Antarctic cooled some 15 Ma ago. Despite this, many of the dominant macroalgae in cooler seas today are (heterokont) brown algae, and many laminarians cannot reproduce at temperatures above 18-25 degreesC. By contrast to plants in the aerial environment, photosynthetic structures in water are at essentially the same temperature as the fluid medium, The impact of low temperatures on photosynthesis by marine macrophytes is predicted to favour diffusive CO2 entry rather than a CO2-concentrating mechanism. Some evidence favours this suggestion, but more data are needed. (C) 2002 Annals of Botany Company.</t>
  </si>
  <si>
    <t>Univ Dundee, Inst Biol Sci, Sch Life Sci, Div Environm &amp; Appl Biol, Dundee DD1 4HN, Scotland; Scottish Crop Res Inst, Dundee DD2 5DA, Scotland; Univ Western Australia, Dept Bot, Crawley, WA 6009, Australia; Monash Univ, Sch Biol Sci, Clayton, Vic 3800, Australia; Univ Oslo, Dept Biol, Sect Marine Bot, N-0316 Oslo, Norway; Univ Texas, Inst Marine Sci, Port Aransas, TX 78373 USA</t>
  </si>
  <si>
    <t>University of Dundee; James Hutton Institute; University of Western Australia; Monash University; University of Oslo; University of Texas System</t>
  </si>
  <si>
    <t>Univ Dundee, Inst Biol Sci, Sch Life Sci, Div Environm &amp; Appl Biol, Dundee DD1 4HN, Scotland.</t>
  </si>
  <si>
    <t>j.a.raven@dundee.ac.uk</t>
  </si>
  <si>
    <t>Vanderklift, Mathew A/B-1003-2008; Raven, John/JFS-3447-2023; Beardall, John/L-5262-2019; Beardall, John/A-1250-2008</t>
  </si>
  <si>
    <t>Beardall, John/0000-0001-7684-446X; Beardall, John/0000-0001-7684-446X</t>
  </si>
  <si>
    <t>0305-7364</t>
  </si>
  <si>
    <t>1095-8290</t>
  </si>
  <si>
    <t>ANN BOT-LONDON</t>
  </si>
  <si>
    <t>Ann. Bot.</t>
  </si>
  <si>
    <t>10.1093/aob/mcf171</t>
  </si>
  <si>
    <t>603ZG</t>
  </si>
  <si>
    <t>WOS:000178590700014</t>
  </si>
  <si>
    <t>Eckford, R; Cook, FD; Saul, D; Aislabie, J; Foght, J</t>
  </si>
  <si>
    <t>Free-living heterotrophic nitrogen-fixing bacteria isolated from fuel-contaminated antarctic soils</t>
  </si>
  <si>
    <t>APPLIED AND ENVIRONMENTAL MICROBIOLOGY</t>
  </si>
  <si>
    <t>LAKE BONNEY; ICE COVER; FIXATION; BIODEGRADATION; HYDROCARBONS; CARBON; PSEUDOMONADS</t>
  </si>
  <si>
    <t>Five bacterial isolates enriched from fuel-contaminated Antarctic soils fixed nitrogen in the dark heterotrophically and nonsymbiotically. Two isolates utilized jet fuel vapors and volatile hydrocarbons for growth but not in N-deficient medium. Bacteria such as these may contribute to in situ biodegradation of hydrocarbons in Antarctic soils.</t>
  </si>
  <si>
    <t>Univ Alberta, Edmonton, AB T6G 2E9, Canada; Univ Alberta, Edmonton, AB T6G 2H1, Canada; Univ Auckland, Sch Biol Sci, Auckland 1, New Zealand; Landcare Res, Hamilton, New Zealand</t>
  </si>
  <si>
    <t>University of Alberta; University of Alberta; University of Auckland; Landcare Research - New Zealand</t>
  </si>
  <si>
    <t>Univ Alberta, Edmonton, AB T6G 2E9, Canada.</t>
  </si>
  <si>
    <t>julia.foght@ualberta.ca</t>
  </si>
  <si>
    <t>Foght, Julia/A-2638-2014</t>
  </si>
  <si>
    <t>Foght, Julia/0000-0002-8614-3875</t>
  </si>
  <si>
    <t>0099-2240</t>
  </si>
  <si>
    <t>1098-5336</t>
  </si>
  <si>
    <t>APPL ENVIRON MICROB</t>
  </si>
  <si>
    <t>Appl. Environ. Microbiol.</t>
  </si>
  <si>
    <t>10.1128/AEM.68.10.5181-5185.2002</t>
  </si>
  <si>
    <t>600FX</t>
  </si>
  <si>
    <t>WOS:000178380900064</t>
  </si>
  <si>
    <t>Sun, LG; Zhu, RB; Xie, ZQ; Xing, GX</t>
  </si>
  <si>
    <t>Emissions of nitrous oxide and methane from Antarctic Tundra: role of penguin dropping deposition</t>
  </si>
  <si>
    <t>methane; nitrous oxide; soil; penguin dropping; Antarctica</t>
  </si>
  <si>
    <t>ENVIRONMENTS; ALASKA; FLUX</t>
  </si>
  <si>
    <t>During the austral summers of 1999 and 2000, we made measurements of methane and nitrous oxide fluxes from tundra soils in maritime Antarctica, using a static open chamber technique. N2O and CH4 fluxes from the non-ornithogenic moss soils averaged 0.8 and -8.7 mug m(-2) h(-1), respectively, in the summer of 1999 and 1.4 and 26.7 mug m(-2) h(-1), respectively, in the summer of 2000. N2O flux from the ornithogenic soils was approximately two orders of magnitude greater than that from moss soils and averaged 89.7 mug m(-2) h(-1), and CH4 flux was approximately one order of magnitude greater and averaged 227.9 mug m(-2) h(-1), indicating that high organic carbon and nitrogen compound of penguin droppings deposition in the soils resulted in high CH4 and N2O emissions as a result of biologic transformation. The relationships between the fluxes and environmental factors were discussed. (C) 2002 Elsevier Science Ltd. All rights reserved.</t>
  </si>
  <si>
    <t>Univ Sci &amp; Technol China, Inst Polar Environm, Hefei 230026, Peoples R China; Chinese Acad Sci, Inst Soil Sci, Lab Mat Cycling Pedosphere, Beijing 100864, Peoples R China</t>
  </si>
  <si>
    <t>Chinese Academy of Sciences; University of Science &amp; Technology of China, CAS; Chinese Academy of Sciences</t>
  </si>
  <si>
    <t>Sun, LG (corresponding author), Univ Sci &amp; Technol China, Inst Polar Environm, Hefei 230026, Peoples R China.</t>
  </si>
  <si>
    <t>PII S1352-2310(02)00340-0</t>
  </si>
  <si>
    <t>10.1016/S1352-2310(02)00340-0</t>
  </si>
  <si>
    <t>608PC</t>
  </si>
  <si>
    <t>WOS:000178854500011</t>
  </si>
  <si>
    <t>Peucat, JJ; Capdevila, R; Fanning, CM; Ménot, RP; Pécora, L; Testut, L</t>
  </si>
  <si>
    <t>1.60 Ga felsic volcanic blocks in the moraines of the Terre Adelie Craton, Antarctica:: comparisons with the Gawler Range Volcanics, South Australia</t>
  </si>
  <si>
    <t>AUSTRALIAN JOURNAL OF EARTH SCIENCES</t>
  </si>
  <si>
    <t>Antarctica; felsic volcanics; Gawler Range Volcanics; geochemistry; geochronology; moraines; Rodinia; South Australia; Terre Adelie Craton</t>
  </si>
  <si>
    <t>U-PB ZIRCON; ISOTOPIC EVIDENCE; TRACE-ELEMENT; YARDEA DACITE; AU-AG; GEOCHRONOLOGY; EVOLUTION; GRANITE; ORIGIN; CLASSIFICATION</t>
  </si>
  <si>
    <t>Rhyodacite and rhyolite blocks found in numerous moraines on the Terre Adelie Craton in Antarctica are samples of a high-temperature high-K calc-alkaline to alkali-calcic igneous suite emplaced at ca 1.60 Ga. They comprise lavas and pyroclastic rocks, including ignimbritic varieties, chemically representative of anorogenic and post-orogenic igneous suites. The eruptive centres are probably close to the coast according to radar satellite images that show the trace of the ice streams. The volcanic suite is similar in age, petrography and chemical composition (major and trace elements as well as Nd isotopes) to the Gawler Range Volcanics from the Gawler Craton of South Australia. These similarities strengthen correlations previously established between the Gawler Craton and the Terre Adelie Craton (Mawson Continent). Moreover, the present petrological, geochemical and geochronological data give a new insight into the last major thermal event affecting the Mawson Continent. The results also highlight the useful contribution of moraines to our knowledge of Antarctic geology.</t>
  </si>
  <si>
    <t>Geosci Rennes, Lab Geochronol &amp; Geochim Isotop, CNRS, UMR 6118, F-35042 Rennes, France; Australian Natl Univ, Res Sch Earth Sci, Canberra, ACT 0200, Australia; Univ St Etienne, Dept Geol Petrol, CNRS, UMR 6524, F-42023 St Etienne 2, France; Univ Toulouse 3, Lab Etud Geophys &amp; Oceanog Spatiale, F-31400 Toulouse 4, France</t>
  </si>
  <si>
    <t>Universite de Rennes; Centre National de la Recherche Scientifique (CNRS); CNRS - National Institute for Earth Sciences &amp; Astronomy (INSU); Australian National University; Centre National de la Recherche Scientifique (CNRS); Institut de Recherche pour le Developpement (IRD); Universite Clermont Auvergne (UCA); Universite Jean Monnet; CNRS - National Institute for Earth Sciences &amp; Astronomy (INSU); Universite de Toulouse; Universite Toulouse III - Paul Sabatier; Centre National de la Recherche Scientifique (CNRS); Institut de Recherche pour le Developpement (IRD); Laboratoire d'Etudes en Geophysique et oceanographie spatiales</t>
  </si>
  <si>
    <t>Geosci Rennes, Lab Geochronol &amp; Geochim Isotop, CNRS, UMR 6118, F-35042 Rennes, France.</t>
  </si>
  <si>
    <t>peucat@univ-rennes1.fr</t>
  </si>
  <si>
    <t>Fanning, Christopher Mark/I-6449-2016</t>
  </si>
  <si>
    <t>Fanning, Christopher Mark/0000-0003-3331-3145; Testut, Laurent/0000-0002-3969-2919</t>
  </si>
  <si>
    <t>0812-0099</t>
  </si>
  <si>
    <t>1440-0952</t>
  </si>
  <si>
    <t>AUST J EARTH SCI</t>
  </si>
  <si>
    <t>Aust. J. Earth Sci.</t>
  </si>
  <si>
    <t>10.1046/j.1440-0952.2002.00956.x</t>
  </si>
  <si>
    <t>599NM</t>
  </si>
  <si>
    <t>WOS:000178341600006</t>
  </si>
  <si>
    <t>Nakagawa, F; Yoshida, N; Sugimoto, A; Wada, E; Yoshioka, T; Ueda, S; Vijarnsorn, P</t>
  </si>
  <si>
    <t>Stable isotope and radiocarbon compositions of methane emitted from tropical rice paddies and swamps in Southern Thailand</t>
  </si>
  <si>
    <t>BIOGEOCHEMISTRY</t>
  </si>
  <si>
    <t>methane; radiocarbon; rice paddy; stable carbon isotope; stable hydrogen isotope; tropical swamp</t>
  </si>
  <si>
    <t>ATMOSPHERIC METHANE; ACETATE FERMENTATION; BACTERIAL METHANE; CO2 REDUCTION; FRESH-WATER; SEASONAL-VARIATIONS; ANTARCTIC ICE; CARBON; HYDROGEN; METHANOGENESIS</t>
  </si>
  <si>
    <t>Stable isotopes (delta(13)C, deltaD) and radiocarbon were measured in methane bubbles emitted from rice paddies and swamps in southern Thailand. Methane emitted from the Thai rice paddies was enriched in C-13 (mean delta(13)C; -51.5 +/- 7.1parts per thousand and -56.5 +/- 4.6parts per thousand for mineral soil and peat soil paddies, respectively) relative to the reported mean value of methane from temperate rice paddies (- 63 +/- 5parts per thousand). Large seasonal variation was observed in delta(13)C(similar to32parts per thousand) in the rice paddies, whereas variation in deltaD was much more smaller (similar to20parts per thousand), indicating that variation in delta(13)C is due mainly to changes in methane production pathways. Values of delta(13)C were lower in swamps (-66.1 +/- 5.1parts per thousand) than in rice paddies. The calculated contribution of acetate fermentation from delta(13)C value was greater in rice paddies (mineral soils: 62-81%, peat soils: 57-73%) than in swamps (27-42%). deltaD in methane from Thai rice paddies (-324 +/- 7parts per thousand (n=46)) is relatively higher than those from 14 stations in Japanese rice paddies ranging from -362 +/- 5parts per thousand (Mito: n=2) to -322 +/- 8parts per thousand (Okinawa: n=3), due to higher deltaD in floodwaters. C-14 content in methane produced from Thai rice paddies (127 +/- 1 pMC) show higher C-14 activity compared with previous work in paddy fields and those from Thai swamps (110 +/- 2 pMC).</t>
  </si>
  <si>
    <t>Nagoya Univ, Inst Hydrospher Atmospher Sci, Chikusa Ku, Aichi 4648601, Japan; Kyoto Univ, Ctr Ecol Res, Shiga 5202113, Japan; Natl Inst Resources &amp; Environm, Tsukuba, Ibaraki 3058569, Japan; Minist Agr &amp; Cooperat, Dept Land Dev, Bangkok 10900, Thailand</t>
  </si>
  <si>
    <t>Nagoya University; Kyoto University; National Institute of Advanced Industrial Science &amp; Technology (AIST); Ministry of Agriculture &amp; Cooperatives - Thailand</t>
  </si>
  <si>
    <t>Tokyo Inst Technol, Interdisciplinary Grad Sch Sci &amp; Engn, Dept Environm Sci &amp; Technol, Midori Ku, 4259 Nagatsuta, Yokohama, Kanagawa 2268502, Japan.</t>
  </si>
  <si>
    <t>fuminaka@depe.titech.ac.jp</t>
  </si>
  <si>
    <t>Yoshida, Naohiro/A-8335-2010</t>
  </si>
  <si>
    <t>Yoshida, Naohiro/0000-0003-0454-3849</t>
  </si>
  <si>
    <t>0168-2563</t>
  </si>
  <si>
    <t>1573-515X</t>
  </si>
  <si>
    <t>Biogeochemistry</t>
  </si>
  <si>
    <t>10.1023/A:1020270032512</t>
  </si>
  <si>
    <t>594RT</t>
  </si>
  <si>
    <t>WOS:000178065300001</t>
  </si>
  <si>
    <t>Clade perseverance from mesozoic to present: a multidisciplinary approach to interpretation of pattern and process</t>
  </si>
  <si>
    <t>BIOLOGICAL BULLETIN</t>
  </si>
  <si>
    <t>ENCRUSTING MARINE ORGANISMS; COMPETITIVE INTERACTIONS; OVERGROWTH COMPETITION; CHEILOSTOME BRYOZOANS; CYCLOSTOME BRYOZOANS; ECOLOGY; ASSEMBLAGE; DIVERSITY; COMMUNITY; INTRANSITIVITY</t>
  </si>
  <si>
    <t>Two clades of marine bryozoans, cyclostomes and cheilostomes, exemplify the benefits of applying a multidisciplinary approach to the interpretation of long-term evolutionary patterns. The cyclostome bryozoans were dominant in the Mesozoic; since that era, they have decreased in absolute terms and the cheilostomes have come to exceed them in both abundance and diversity. Many studies of living assemblages of the encrusting members of these two clades indicate that cheilostomes are superior space competitors, but paleontological studies suggest that competition between the two taxa has not been escalating over geological time. Both clades occur throughout the world's oceans and seas, and recent work in the geographical extremes has shown that the relative success of the clades varies markedly from place to place. In this study, the importance of differential patterns of recruitment and cumulative space occupation in the two clades was evaluated over four years and in two environments, one temperate and one polar. In both of these environments, peaks of recruitment and space occupation by the two clades were out of phase. The different strategies and outcomes of spatial competition are examined, largely using data from the literature. Only recently has it been realized that tied outcomes of competition are stable alternative results and not simply transitory phases. Many competitive encounters involving cyclostomes result in ties, implying that their strategy is based on persistence rather than dominance. When different indices and models are used to analyze competition data from the two clades, the interpretation varies markedly with methodology. The differences in patterns of recruitment, space occupation, and spatial competition have influenced both our understanding of how the two clades have persisted alongside each other and our perception of cheilostome superiority. Analysis of fluid dynamics has shown that small differences in the mechanical structure of typical members of each clade lead to fundamental differences in water movement. For animals that rely on water motion for transport of nutritional and excretory elements (suspension feeders), small changes in current velocity and direction can have a major impact. Preliminary chemical analysis of the excurrent stream leaving cheilostome colonies has shown it to be laden with excretory products, which can interfere and mix with a neighbor's feeding currents. Clearly, spatial competition involves more than a simple mechanical showdown..</t>
  </si>
  <si>
    <t>MARINE BIOLOGICAL LABORATORY</t>
  </si>
  <si>
    <t>WOODS HOLE</t>
  </si>
  <si>
    <t>7 MBL ST, WOODS HOLE, MA 02543 USA</t>
  </si>
  <si>
    <t>0006-3185</t>
  </si>
  <si>
    <t>BIOL BULL</t>
  </si>
  <si>
    <t>Biol. Bull.</t>
  </si>
  <si>
    <t>10.2307/1543385</t>
  </si>
  <si>
    <t>Biology; Marine &amp; Freshwater Biology</t>
  </si>
  <si>
    <t>Life Sciences &amp; Biomedicine - Other Topics; Marine &amp; Freshwater Biology</t>
  </si>
  <si>
    <t>613AQ</t>
  </si>
  <si>
    <t>WOS:000179108500005</t>
  </si>
  <si>
    <t>Winnard, P; Sidell, BD; Vayda, ME</t>
  </si>
  <si>
    <t>Teleost introns are characterized by a high A+T content</t>
  </si>
  <si>
    <t>teleost; A plus T content; introns; exons; body temperature; base composition; Antarctic icefish</t>
  </si>
  <si>
    <t>YEAST REPLICATION ORIGIN; MUTATIONAL DEFECTS; MESSENGER-RNAS; GENOME; VERTEBRATES; GENE; EFFICIENCY; EXPRESSION; ISOCHORES</t>
  </si>
  <si>
    <t>We previously observed that Antarctic fish genes contain intron sequences of high A+T content (60-70% average A+T) which are in stark contrast with adjacent protein coding-sequences. Here, we report that this disparity in intron/ exon base composition is a common feature among teleosts. We analyzed 483 teleost genomic DNA sequences, containing 2583 introns, from 80 teleost genera that populate polar, temperate, or tropical habitats. Eighty-nine percent of teleost introns display an A+T content between 50-84% A+T with a mean of 60% A+T. In contrast, only 37% of teleost exons have an A+T content greater-than 50% with a mean of 48% A+T. A comparison to homologous mammalian genes showed a striking difference; in this case, introns and exons have similar base compositions, averaging 45-47% A+T. This indicates that most teleost genes exhibit a large difference in base composition between their introns and exon. There was no correlation of teleost intron A+T content to intron length or habitat temperature range. Thus, teleost intron sequences tend to show the common feature of being much higher in A+T content then neighboring exons. (C) 2002 Elsevier Science Inc. All rights reserved.</t>
  </si>
  <si>
    <t>Univ Maine, Dept Biochem Microbiol &amp; Mol Biol, Orono, ME 04469 USA; Univ Maine, Sch Marine Sci, Orono, ME 04469 USA</t>
  </si>
  <si>
    <t>Vayda, ME (corresponding author), Univ Maine, Dept Biochem Microbiol &amp; Mol Biol, Orono, ME 04469 USA.</t>
  </si>
  <si>
    <t>PII S1096-4959(02)00104-5</t>
  </si>
  <si>
    <t>10.1016/S1096-4959(02)00104-5</t>
  </si>
  <si>
    <t>613AM</t>
  </si>
  <si>
    <t>WOS:000179108000002</t>
  </si>
  <si>
    <t>Vetter, W; Stoll, E; Garson, MJ; Fahey, SJ; Gaus, C; Müller, JF</t>
  </si>
  <si>
    <t>Sponge halogenated natural products found at parts-per-million levels in marine mammals</t>
  </si>
  <si>
    <t>ENVIRONMENTAL TOXICOLOGY AND CHEMISTRY</t>
  </si>
  <si>
    <t>naturally produced organohalogens; brominated phenoxyansiole; marine mammals; Dysidea sp; gas chromatography/mass spectrometry</t>
  </si>
  <si>
    <t>POLYBROMINATED DIPHENYL ETHERS; DYSIDEA-HERBACEA; IDENTIFICATION; CONTAMINANT; METABOLITES; DOLPHINS; BLUBBER; Q1</t>
  </si>
  <si>
    <t>Several unknown, abundant brominated compounds (BCs) were recently detected in the blubber of dolphins and other marine mammals from Queensland (northeast Australia). The BC were interpreted as potential natural products due to the lack of anthropogenic sources for these compounds. This study investigated whether some of the BCs accumulated by diverse marine mammal species are identical with natural BCs previously isolated from sponges (Dysidea sp.) living in the same habitat. Isolates from sponges and mollusks (Asteronotus cespitosus) were compared with the signals detected in the mammals' tissue. Mass spectra and gas chromatography retention times on four different capillary columns of the isolates from sponges and mammals were identical in all respects. This proves that the chemical name of the compound previously labeled BC-2 is 4,6-dibromo-2-(2'-dibromo)phenoxyanisole and that the chemical name of BC-11 is 3,5-dibromo-2-(3',5'-dibromo-2'-methoxy)phenoxyanisole. Using a quantitative reference solution of BC-2, we established that the concentrations of the brominated metabolies found in the marine mammals are frequently &gt;1 mg/kg. The highest concentration (3.8 mg/kg), found in a sample of pygmy sperm whale (Kogia breviceps), indicates that BC-2 is a bioaccumulative, natural organohalogen compound. This is supported by the concentrations of the BCs in our samples being equal to the highest concentrations of anthropogenic BCs in any environmental sample. The quantitative determination of BC-2 in blubber of marine mammals from Africa and the Antarctic suggests that BC-2 is wide-spread. These results are direct proof that marine biota can produce persistent organic chemicals that accumulate to substantial concentrations in higher trophic organisms.</t>
  </si>
  <si>
    <t>Univ Jena, Dept Food Chem, D-07743 Jena, Germany; Univ Queensland, Dept Chem, Brisbane, Qld 4072, Australia; Univ Queensland, Natl Res Ctr Environm Toxicol, Coopers Plains, Qld 4108, Australia</t>
  </si>
  <si>
    <t>Friedrich Schiller University of Jena; University of Queensland; University of Queensland</t>
  </si>
  <si>
    <t>Univ Jena, Dept Food Chem, Dornburger Str 25, D-07743 Jena, Germany.</t>
  </si>
  <si>
    <t>b5wave@rz.uni-jena.de</t>
  </si>
  <si>
    <t>Mueller, Jochen F/C-6241-2008; Gaus, Caroline/B-3387-2009</t>
  </si>
  <si>
    <t>Gaus, Caroline/0000-0002-0585-8511; Mueller, Jochen/0000-0002-0000-1973</t>
  </si>
  <si>
    <t>0730-7268</t>
  </si>
  <si>
    <t>1552-8618</t>
  </si>
  <si>
    <t>ENVIRON TOXICOL CHEM</t>
  </si>
  <si>
    <t>Environ. Toxicol. Chem.</t>
  </si>
  <si>
    <t>10.1897/1551-5028(2002)021&lt;2014:SHNPFA&gt;2.0.CO;2</t>
  </si>
  <si>
    <t>Environmental Sciences; Toxicology</t>
  </si>
  <si>
    <t>Environmental Sciences &amp; Ecology; Toxicology</t>
  </si>
  <si>
    <t>596FJ</t>
  </si>
  <si>
    <t>WOS:000178153300002</t>
  </si>
  <si>
    <t>Gong, J; Song, WB; Warren, A</t>
  </si>
  <si>
    <t>Redescriptions of two marine cyrtophorid ciliates, Dysteria cristata (Gourret and Roeser,, 1888) Kahl,, 1931 and Dysteria monostyla (Ehrenberg, 1838) Kahl, 1931 (Protozoa, Ciliophora, Cyrtophorida), from China</t>
  </si>
  <si>
    <t>Cyrtophorida; Dysteria; Dysteria antarctica nov spec.; marine ciliate; morphology and infraciliature</t>
  </si>
  <si>
    <t>The living morphology, infraciliature and silverline system of two marine cyrtophorid ciliates from Chinese coastal waters, Dysteria cristata (Gourret and Roeser, 1888) Kahl, 1931 collected off Zhanjiang, south China, and Dysteria monostyla (Ehrenberg, 1838) Kahl, 1931 collected off Qingdao, north east China, have been investigated. The little known Dysteria cristata, is redescribed and an improved diagnosis is supplied: marine Dysteria with an asymmetrical oval body shape when viewed from lateral aspect, 40-50 x 25-30 mum in vivo, with one right ventral and 2 frontoventral kineties in right field; 5-7 short kineties in left equatorial field; two ventrally located contractile vacuoles. Based on the Qingdao population and on previous descriptions, an improved diagnosis of Dysteria monostyla is also supplied: body elongate, size in vivo 60-110 x 30-40 mum; with 2 frontoventral and 3 right ventral kineties, 6-9 left equatorial kineties; and 2 ventrally located contractile vacuoles. After careful comparison it was concluded that the large Antarctic form described by Petz et al. (1995) represents a separate member of the genus for which the new species Dysteria antarctica nov. spec. is established. It is characterized thus: large marine Dysteria about 145 x 65 mum in vivo, with elongate body shape; no conspicuous grooves or ridges on body surface; 3 frontoventral kineties; 2 right ventral kineties anterior ends of which terminate at different levels; 2 contractile vacuoles.</t>
  </si>
  <si>
    <t>Ocean Univ Qingdao, Lab Protozool, Qingdao 266003, Peoples R China; Nat Hist Museum, Dept Zool, London SW7 5BD, England</t>
  </si>
  <si>
    <t>Ocean University of China; Natural History Museum London</t>
  </si>
  <si>
    <t>Song, WB (corresponding author), Ocean Univ Qingdao, Lab Protozool, Qingdao 266003, Peoples R China.</t>
  </si>
  <si>
    <t>wsong@ouqd.edu.cn</t>
  </si>
  <si>
    <t>Gong, Jun/B-1580-2008</t>
  </si>
  <si>
    <t>Gong, Jun/0000-0002-4402-1263</t>
  </si>
  <si>
    <t>ELSEVIER GMBH, URBAN &amp; FISCHER VERLAG</t>
  </si>
  <si>
    <t>OFFICE JENA, P O BOX 100537, 07705 JENA, GERMANY</t>
  </si>
  <si>
    <t>10.1078/0932-4739-00862</t>
  </si>
  <si>
    <t>612CW</t>
  </si>
  <si>
    <t>WOS:000179057800002</t>
  </si>
  <si>
    <t>Sponer, R; Roy, MS</t>
  </si>
  <si>
    <t>Phylogeographic analysis of the brooding brittle star Amphipholis squamata (Echinodermata) along the coast of New Zealand reveals high cryptic genetic variation and cryptic dispersal potential</t>
  </si>
  <si>
    <t>biogeography; cryptic species; marine; rafting; 16S mtDNA</t>
  </si>
  <si>
    <t>MUSSEL PERNA-CANALICULUS; PACIFIC SEA-URCHINS; PEA CRABS DECAPODA; LARVAL DISPERSAL; POPULATION-STRUCTURE; MARINE-INVERTEBRATES; MOLECULAR EVIDENCE; GREENSHELL MUSSEL; COLOR VARIETIES; EVOLUTION</t>
  </si>
  <si>
    <t>Direct development in benthic marine invertebrates is usually associated with narrow geographical range, low rates of colonization, and low levels of gene flow. Paradoxically, the small brittle star Amphipholis squamata broods its larvae to a crawl-away juvenile stage, yet has a cosmopolitan distribution. Using sequence and restriction-fragment-length-polymorphisms (RFLP) analyses of nuclear and mitochondrial DNA from 16 coastal populations throughout New Zealand, we tested whether the species is indeed a poor disperser, as may be expected from its brooding habit. We predicted that local and regional populations would be genetically structured according to isolation by distance. We also suspected that this ubiquitous species is composed of a variety of cryptic taxa in different geographic areas, as has been discovered in an increasing number of marine invertebrates. We found evidence of four genetically divergent and reproductively isolated lineages that can exist in syntopy. Lineages vary in abundance, haplotype diversity, and geographic distribution. The partitioning of genetic variation within the most common lineage, as well as the geographic distribution of the four lineages, suggest a north/south split. This pattern is consistent with known New Zealand marine biogeographic zones and appears to be linked to the regime of oceanic circulation, which is characterized by subtropical, southward-moving water masses in the north, and sub-Antarctic, north ward-moving water in the south. We conclude that the dispersal ability of A. squamata is regionally restricted but with sporadic long-distance dispersal, which serves to increase local genetic variation. Our results support the idea that dispersal occurs through passive transport by drifting or rafting on macroalgae, which A. squamata commonly inhabits, and emphasize that poor dispersal ability is not necessarily a corollary of direct development.</t>
  </si>
  <si>
    <t>Univ Otago, Dept Zool, Evolut Genet Lab, Dunedin, New Zealand</t>
  </si>
  <si>
    <t>Sponer, R (corresponding author), Univ Otago, Dept Zool, Evolut Genet Lab, POB 56, Dunedin, New Zealand.</t>
  </si>
  <si>
    <t>renate.sponer@stonebow.otago.ac.nz; michael.roy@stonebow.otago.ac.nz</t>
  </si>
  <si>
    <t>SOC STUDY EVOLUTION</t>
  </si>
  <si>
    <t>810 E 10TH STREET, LAWRENCE, KS 66044 USA</t>
  </si>
  <si>
    <t>0014-3820</t>
  </si>
  <si>
    <t>Evolution</t>
  </si>
  <si>
    <t>Ecology; Evolutionary Biology; Genetics &amp; Heredity</t>
  </si>
  <si>
    <t>Environmental Sciences &amp; Ecology; Evolutionary Biology; Genetics &amp; Heredity</t>
  </si>
  <si>
    <t>615JH</t>
  </si>
  <si>
    <t>WOS:000179241700007</t>
  </si>
  <si>
    <t>Pucciarelli, S; Miceli, C</t>
  </si>
  <si>
    <t>Characterization of the cold-adapted α-tubulin from the psychrophilic ciliate Euplotes focardii</t>
  </si>
  <si>
    <t>EXTREMOPHILES</t>
  </si>
  <si>
    <t>psychrophilic protist; cold-stable microtubules; Antarctic environment; molecular cold-adaptation; tubulin genes; acetylation</t>
  </si>
  <si>
    <t>BETA-TUBULIN; POSTTRANSLATIONAL MODIFICATIONS; STRUCTURAL-CHARACTERIZATION; GENE FAMILY; MICROTUBULES; ADAPTATION; EXPRESSION; PROTOZOAN; ENZYMES</t>
  </si>
  <si>
    <t>Tubulin dimers of psychrophilic organisms can polymerize into microtubules at temperatures below 4degreesC, at which non-cold-adapted microtubules disassemble. This capacity requires specificities in the structure and/or in the posttranslational modifications of the tubulin subunits. A contribution to the knowledge of these specificities was provided by the finding that the amino acid sequence of the alpha-tubulin of the Antarctic ciliate Euplotes focardii contains substitutions that, in addition to conferring an increased hydrophobicity to the molecule, modify sites that are involved in alpha-/alpha-tubulin lateral contacts between protofilaments. At the level of the coding sequence, the alpha-tubulin gene of E. focardii revealed an A + T content appreciably higher than in its homologs in ciliates of temperate waters. This was interpreted as an adaptation to favor DNA strand separation in an environment which is energetically adverse.</t>
  </si>
  <si>
    <t>Univ Camerino, Dipartimento Biol Mol Cellulare Anim, I-62032 Camerino, MC, Italy</t>
  </si>
  <si>
    <t>University of Camerino</t>
  </si>
  <si>
    <t>Miceli, C (corresponding author), Univ Camerino, Dipartimento Biol Mol Cellulare Anim, Via F Camerini 5, I-62032 Camerino, MC, Italy.</t>
  </si>
  <si>
    <t>cristina.miceli@uncam.it</t>
  </si>
  <si>
    <t>Miceli, Cristina/0000-0002-7829-8471; Pucciarelli, Sandra/0000-0003-4178-2689</t>
  </si>
  <si>
    <t>SPRINGER JAPAN KK</t>
  </si>
  <si>
    <t>SHIROYAMA TRUST TOWER 5F, 4-3-1 TORANOMON, MINATO-KU, TOKYO, 105-6005, JAPAN</t>
  </si>
  <si>
    <t>1431-0651</t>
  </si>
  <si>
    <t>1433-4909</t>
  </si>
  <si>
    <t>Extremophiles</t>
  </si>
  <si>
    <t>10.1007/s00792-002-0268-5</t>
  </si>
  <si>
    <t>Biochemistry &amp; Molecular Biology; Microbiology</t>
  </si>
  <si>
    <t>605MB</t>
  </si>
  <si>
    <t>WOS:000178680700005</t>
  </si>
  <si>
    <t>Watanabe, S; Yamaoka, N; Fukunaga, N; Takada, Y</t>
  </si>
  <si>
    <t>Purification and characterization of a cold-adapted isocitrate lyase and expression analysis of the cold-inducible isocitrate lyase gene from the psychrophilic bacterium Colwellia psychrerythraea</t>
  </si>
  <si>
    <t>psychrophilic bacterium; Colwellia psychrerythraea; isocitrate lyase; cold-adapted enzyme; cold-inducible gene</t>
  </si>
  <si>
    <t>ACTIVE CITRATE SYNTHASE; STRAIN ABE-1; ANTARCTIC BACTERIUM; ESCHERICHIA-COLI; VIBRIO SP; ADAPTATION; DEHYDROGENASE; ENZYMES; MARIS</t>
  </si>
  <si>
    <t>Isocitrate lyase (ICL) from Colwellia psychrerythraea, a psychrophilic bacterium, was purified and characterized. The subunit molecular mass was 64 kDa, which is larger than that of other bacterial ICLs. The optimal temperature for its activity was 25degreesC, the value of K-m for the substrate (DL-isocitrate) was minimum at 15degreesC, and the catalytic efficiency (k(cat)/K-m) value was maximum at 20degreesC. Furthermore, the enzyme was remarkably thermolabile and completely inactivated by incubation for 2 min at 30degreesC. These features indicate that ICL from this bacterium is a typical cold-adapted enzyme. A partial amino acid sequence of the C. psychrerythraea ICL was very similar to that of the closely related psychrophile Colwellia maris. Expression of the gene encoding the C. psychrerythraea ICL was found to be induced by low temperatures and by acetate in the medium. The cold adaptation of the catalytic properties of ICL and the stimulated expression of its gene at low temperatures strongly suggest that this enzyme is important for the growth of this bacterium in a cold environment.</t>
  </si>
  <si>
    <t>Hokkaido Univ, Grad Sch Sci, Div Biol Sci, Kita Ku, Sapporo, Hokkaido 0600810, Japan</t>
  </si>
  <si>
    <t>Hokkaido Univ, Grad Sch Sci, Div Biol Sci, Kita Ku, Kita 10 Jo Nishi 8 Chome, Sapporo, Hokkaido 0600810, Japan.</t>
  </si>
  <si>
    <t>ytaka@sci.hokudai.ac.jp</t>
  </si>
  <si>
    <t>CHIYODA FIRST BLDG EAST, 3-8-1 NISHI-KANDA, CHIYODA-KU, TOKYO, 101-0065, JAPAN</t>
  </si>
  <si>
    <t>10.1007/s00792-002-0271-x</t>
  </si>
  <si>
    <t>WOS:000178680700007</t>
  </si>
  <si>
    <t>Cowan, DA; Russell, NJ; Mamais, A; Sheppard, DM</t>
  </si>
  <si>
    <t>Antarctic Dry Valley mineral soils contain unexpectedly high levels of microbial biomass</t>
  </si>
  <si>
    <t>Antarctic Dry Valleys; Antarctica; ATP measurement; bioluminescence; microbial biomass; ornithogenic soils</t>
  </si>
  <si>
    <t>ADENOSINE-TRIPHOSPHATE; ATP BIOLUMINESCENCE; ORNITHOGENIC SOILS; CONTAMINATION</t>
  </si>
  <si>
    <t>We have applied bioluminescent ATP detection methods to microbial enumeration in Antarctic Dry Valley mineral soils, and validated our ATP data by two independent methods. We have demonstrated that ATP measurement is a valid means of determining microbial biomass in such sites, and that the desiccated surface mineral soils of the Antarctic Dry Valleys contain cell numbers over four orders of magnitude higher than previously suggested.</t>
  </si>
  <si>
    <t>UCL, Dept Biochem &amp; Mol Biol, London, England; Univ London, Imperial Coll, Dept Agr Sci, Wye, Kent, England</t>
  </si>
  <si>
    <t>University of London; University College London; Imperial College London; University of London</t>
  </si>
  <si>
    <t>Univ Western Cape, Dept Biotechnol, ZA-7535 Bellville, Cape Town, South Africa.</t>
  </si>
  <si>
    <t>dcowan@uwc.ac.za</t>
  </si>
  <si>
    <t>Cowan, Donald A/E-3991-2012</t>
  </si>
  <si>
    <t>Cowan, Donald A/0000-0001-8059-861X</t>
  </si>
  <si>
    <t>10.1007/s00792-002-0276-5</t>
  </si>
  <si>
    <t>WOS:000178680700012</t>
  </si>
  <si>
    <t>Green, JA; Butler, PJ; Woakes, AJ; Boyd, IL</t>
  </si>
  <si>
    <t>Energy requirements of female Macaroni Penguins breeding at South Georgia</t>
  </si>
  <si>
    <t>energetics; foraging; heart rate; metabolism; Southern Ocean</t>
  </si>
  <si>
    <t>ANTARCTIC FUR SEALS; FIELD METABOLIC RATES; DOUBLY LABELED WATER; HEART-RATE; EUDYPTES-CHRYSOLOPHUS; INTERANNUAL VARIABILITY; PYGOSCELIS-PAPUA; GENTOO PENGUINS; ADELIE PENGUINS; REPRODUCTIVE ENERGETICS</t>
  </si>
  <si>
    <t>1. Breeding female Macaroni Penguins (Eudyptes chrysolophus ) were implanted with heart rate, temperature and depth data loggers in order to estimate their rate of energy expenditure from heart rate. 2. The estimated average daily metabolic rates (ADMR) of birds during the brood and creche phases of the breeding season were 8.17 +/- 0.44 W kg(-1) and 8.24 +/- 0.41 W kg(-1) , respectively. There was no significant difference between these estimates and the pooled ADMR for all birds was 8.22 +/- 0.38 W kg(-1) . 3. Metabolic rate while the penguins were at-sea was 9.03 +/- 0.39 W kg(-1) and this was significantly greater than the metabolic rate of 6.27 +/- 0.38 W kg(-1) while they were on-shore. 4. Females undertook shorter foraging trips during the creche phase than during the brood phase. 5. When considered as a breeding pair, Macaroni Penguins expend more energy in raising their chick during the creche phase of the breeding season as the male assists in provisioning the chick only at this time.</t>
  </si>
  <si>
    <t>Green, JA (corresponding author), Univ Birmingham, Sch Biosci, Birmingham B15 2TT, W Midlands, England.</t>
  </si>
  <si>
    <t>Green, Jonathan A/B-8799-2011; Woakes, Anthony/JYD-0387-2024</t>
  </si>
  <si>
    <t>Green, Jonathan A/0000-0001-8692-0163;</t>
  </si>
  <si>
    <t>10.1046/j.1365-2435.2002.00670.x</t>
  </si>
  <si>
    <t>595QB</t>
  </si>
  <si>
    <t>WOS:000178119300015</t>
  </si>
  <si>
    <t>Klene, AE; Nelson, FE; Nevins, J; Rogers, D; Shiklomanov, NI</t>
  </si>
  <si>
    <t>Permafrost science and secondary education: direct involvement of teachers and students in field research</t>
  </si>
  <si>
    <t>GEOMORPHOLOGY</t>
  </si>
  <si>
    <t>30th Annual Binghamton Geomorphology Symposium</t>
  </si>
  <si>
    <t>NOV 12-14, 1999</t>
  </si>
  <si>
    <t>BINGHAMTON, NY</t>
  </si>
  <si>
    <t>education; geomorphology; Alaska; frozen ground; perigtacial features; high school</t>
  </si>
  <si>
    <t>ACTIVE-LAYER THICKNESS; ALASKA</t>
  </si>
  <si>
    <t>Permafrost and periglacial geomorphology are absent from the science curriculum in most secondary schools in the United States. This is an unfortunate situation given the recent increases in development and environmental concerns in northern latitudes and high-mountain areas, and the interesting examples of basic scientific principles found in the history of research on periglacial geomorphology and permafrost, In 1997 and 1998, a University of Delaware research group studying permafrost and periglacial geomorphology in northern Alaska participated in the National Science Foundation's (NSF) Teachers Experiencing the Antarctic and Arctic (TEA) Program, In each of these years, a high school teacher and a student traveled as part of the research team to the North Slope of Alaska. They learned about the landscape, collected active-layer thickness and temperature measurements, and assisted in data analysis. Results from studies of active-layer thickness variability and ground temperature contributed to a series of long-term observations and international research on the impacts of global climate change. Since their expeditions. the teachers have shared their experiences with their classrooms and communities in several ways, including public lectures and the Internet. Classroom activities are available to the public through the TEA web site (). This experience may heighten public awareness of permafrost and contribute to it becoming a useful part of the secondary curriculum. (C) 2002 Elsevier Science B.V. All rights reserved.</t>
  </si>
  <si>
    <t>Univ Delaware, Dept Geog, Newark, DE 19716 USA; Univ Delaware, Ctr Climat Res, Newark, DE 19716 USA; Crandon High Sch, Crandon, WI 54520 USA; Rogers High Sch, Spokane, WA 99207 USA</t>
  </si>
  <si>
    <t>University of Delaware; University of Delaware</t>
  </si>
  <si>
    <t>Univ Delaware, Dept Geog, Newark, DE 19716 USA.</t>
  </si>
  <si>
    <t>klene@udel.edu</t>
  </si>
  <si>
    <t>Klene, Anna/GXF-6495-2022</t>
  </si>
  <si>
    <t>Klene, Anna/0000-0002-0579-1628; Shiklomanov, NIkolay/0000-0002-8609-0240</t>
  </si>
  <si>
    <t>0169-555X</t>
  </si>
  <si>
    <t>1872-695X</t>
  </si>
  <si>
    <t>Geomorphology</t>
  </si>
  <si>
    <t>OCT 1</t>
  </si>
  <si>
    <t>PII S0169-555X(02)00093-4</t>
  </si>
  <si>
    <t>10.1016/S0169-555X(02)00093-4</t>
  </si>
  <si>
    <t>596LW</t>
  </si>
  <si>
    <t>WOS:000178167200013</t>
  </si>
  <si>
    <t>Arrigo, KR; Dunbar, RB; Lizotte, MP; Robinson, DH</t>
  </si>
  <si>
    <t>Taxon-specific differences in C/P and N/P drawdown for phytoplankton in the Ross Sea, Antarctica</t>
  </si>
  <si>
    <t>phytoplankton; Antarctic; nutrients; Redfield ratio; carbon; diatoms; Phaeocystis antarctica</t>
  </si>
  <si>
    <t>SOUTHERN-OCEAN; NUTRIENT UTILIZATION; REDFIELD RATIOS; PHAEOCYSTIS; NITROGEN; DIATOMS; EXPORT; CO2</t>
  </si>
  <si>
    <t>[1] Data from 11 cruises to the Ross Sea, Antarctica show that non-Redfield N/P and C/P drawdown ratios for diatoms and Phaeocystis antarctica were a consistent feature of the phytoplankton communities between 1990 and 1998. Ratios of N/P drawdown for waters dominated by P. antarctica ranged from 17.2-19.5, consistently exceeding the Redfield ratio of 16. Similarly, the C/P drawdown ratio for P. antarctica-dominated waters ranged from 120-154, 13-45% greater than the Redfield ratio of 106. Waters dominated by diatoms exhibited much lower ratios than Redfield for N/P (mean = 11.9) and C/P (mean = 76.2) drawdown. There was no seasonal trend to the drawdown ratios by either taxa. Sediment trap data exhibited C/P ratios for P. antarctica-dominated samples that were twice that for diatoms, suggesting that the large taxonomic difference in C/P drawdown ratio is expressed as a difference in particulate C/P ratio which is subsequently exported to depth.</t>
  </si>
  <si>
    <t>Stanford Univ, Dept Geophys, Stanford, CA 94305 USA; Bigelow Lab Ocean Sci, Boothbay Harbor, ME 04575 USA; San Francisco State Univ, Romberg Tiburon Ctr, Tiburon, CA USA</t>
  </si>
  <si>
    <t>Stanford University; Bigelow Laboratory for Ocean Sciences; California State University System; San Francisco State University</t>
  </si>
  <si>
    <t>Arrigo, KR (corresponding author), Stanford Univ, Dept Geophys, Stanford, CA 94305 USA.</t>
  </si>
  <si>
    <t>Arrigo, Kevin/0000-0002-7364-876X; Dunbar, Robert/0000-0002-9728-5609</t>
  </si>
  <si>
    <t>10.1029/2002GL015277</t>
  </si>
  <si>
    <t>638ZQ</t>
  </si>
  <si>
    <t>WOS:000180603500044</t>
  </si>
  <si>
    <t>Rodger, CJ; Clilverd, MA</t>
  </si>
  <si>
    <t>Inner radiation belt electron lifetimes due to whistler-induced electron precipitation (WEP) driven losses</t>
  </si>
  <si>
    <t>DISTRIBUTIONS; PLASMASPHERE; SATELLITE</t>
  </si>
  <si>
    <t>[1] Wave-particle interactions driven by whistler mode waves in the inner Van Allan belt is an important loss process for the energetic electrons found in this region. In this paper we seek to investigate the significance of Whistler-Induced Electron Precipitation (WEP) to inner belt electron lifetimes, by combining experimental satellite results, ionospheric remote observations, and global lightning distributions. We find that long-term WEP driven losses at L = 2.23 are more significant than all other inner radiation belt loss processes for electron kinetic energies in the range 40-350 keV. This suggests a faster depletion rate and thus lower lifetimes than previously calculated. Thunderstorm generated whistlers are an important factor for determining the lifetimes of medium energy electrons in the inner belt.</t>
  </si>
  <si>
    <t>Univ Otago, Dept Phys, Dunedin, New Zealand; British Antarctic Survey, Div Phys Sci, Cambridge CB3 0ET, England</t>
  </si>
  <si>
    <t>University of Otago; UK Research &amp; Innovation (UKRI); Natural Environment Research Council (NERC); NERC British Antarctic Survey</t>
  </si>
  <si>
    <t>Rodger, CJ (corresponding author), Univ Otago, Dept Phys, POB 56, Dunedin, New Zealand.</t>
  </si>
  <si>
    <t>Rodger, Craig/A-1501-2011</t>
  </si>
  <si>
    <t>Rodger, Craig J./0000-0002-6770-2707</t>
  </si>
  <si>
    <t>10.1029/2002GL015795</t>
  </si>
  <si>
    <t>WOS:000180603500030</t>
  </si>
  <si>
    <t>Holmes, RM; McClelland, JW; Peterson, BJ; Shiklomanov, IA; Shiklomanov, AI; Zhulidov, AV; Gordeev, VV; Bobrovitskaya, NN</t>
  </si>
  <si>
    <t>A circumpolar perspective on fluvial sediment flux to the Arctic Ocean</t>
  </si>
  <si>
    <t>GLOBAL BIOGEOCHEMICAL CYCLES</t>
  </si>
  <si>
    <t>Arctic rivers; sediment flux; land-ocean interactions; pan-Arctic watershed</t>
  </si>
  <si>
    <t>FRESH-WATER; LAPTEV SEA; NUTRIENTS; DISCHARGE; RIVERS; INPUT; SHELF; DELTA; ICE</t>
  </si>
  <si>
    <t>[1] Quantification of sediment fluxes from rivers is fundamental to understanding land-ocean linkages in the Arctic. Numerous publications have focused on this subject over the past century, yet assessments of temporal trends are scarce and consensus on contemporary fluxes is lacking. Published estimates vary widely, but often provide little accessory information needed to interpret the differences. We present a pan-arctic synthesis of sediment flux from 19 arctic rivers, primarily focusing on contributions from the eight largest ones. For this synthesis, historical records and recent unpublished data were compiled from Russian, Canadian, and United States sources. Evaluation of these data revealed no long-term trends in sediment flux, but did show stepwise changes in the historical records of two of the rivers. In some cases, old values that do not reflect contemporary fluxes are still being reported, while in other cases, typographical errors have been propagated into the recent literature. Most of the discrepancy among published estimates, however, can be explained by differences in years of records examined and gauging stations used. Variations in sediment flux from year to year in arctic rivers are large, so estimates based on relatively few years can differ substantially. To determine best contemporary estimates of sediment flux for the eight largest arctic rivers, we used a combination of newly available data, historical records, and literature values. These estimates contribute to our understanding of carbon, nutrient, and contaminant transport to the Arctic Ocean and provide a baseline for detecting future anthropogenic or natural change in the Arctic.</t>
  </si>
  <si>
    <t>Marine Biol Lab, Ctr Ecosyst, Woods Hole, MA 02543 USA; State Hydrol Inst, St Petersburg 199053, Russia; Arctic &amp; Antarctic Res Inst, St Petersburg 199226, Russia; Univ New Hampshire, Water Syst Anal Grp, Durham, NH 03824 USA; Ctr Preparat &amp; Implementat Int Projects Tech Assi, N Caucasus Branch, Rostov Na Donu 344104, Russia; Russian Acad Sci, Inst Oceanol, Moscow 117218, Russia</t>
  </si>
  <si>
    <t>Marine Biological Laboratory - Woods Hole; Arctic &amp; Antarctic Research Institute; University System Of New Hampshire; University of New Hampshire; Russian Academy of Sciences</t>
  </si>
  <si>
    <t>Marine Biol Lab, Ctr Ecosyst, 7 MBL St, Woods Hole, MA 02543 USA.</t>
  </si>
  <si>
    <t>rholmes@mbl.edu; jmcclelland@mbl.edu; Peterson@mbl.edu; ishiklom@zb3627.spb.edu; sasha@eos.sr.unh.edu; zhulidov@ncbcppi.rnd.runnet.ru; gordeev@geo.sio.rssi.ru</t>
  </si>
  <si>
    <t>Shiklomanov, Alexander I/C-5521-2014; McClelland, James W/IWE-5143-2023</t>
  </si>
  <si>
    <t>McClelland, James W/0000-0001-9619-8194; Holmes, Robert Max/0000-0002-6413-9154; Shiklomanov, Alexander/0000-0001-9790-3510</t>
  </si>
  <si>
    <t>0886-6236</t>
  </si>
  <si>
    <t>1944-9224</t>
  </si>
  <si>
    <t>GLOBAL BIOGEOCHEM CY</t>
  </si>
  <si>
    <t>Glob. Biogeochem. Cycle</t>
  </si>
  <si>
    <t>OCT-NOV</t>
  </si>
  <si>
    <t>10.1029/2001GB001849</t>
  </si>
  <si>
    <t>Environmental Sciences; Geosciences, Multidisciplinary; Meteorology &amp; Atmospheric Sciences</t>
  </si>
  <si>
    <t>Environmental Sciences &amp; Ecology; Geology; Meteorology &amp; Atmospheric Sciences</t>
  </si>
  <si>
    <t>643RK</t>
  </si>
  <si>
    <t>WOS:000180874100045</t>
  </si>
  <si>
    <t>Newsham, KK; Hodgson, DA; Murray, AWA; Peat, HJ; Smith, RIL</t>
  </si>
  <si>
    <t>Response of two Antarctic bryophytes to stratospheric ozone depletion</t>
  </si>
  <si>
    <t>Antarctica; bryophytes; maximum quantum yield of photochemistry (F-v/F-m); pigmentation; stratospheric ozone (O-3) depletion; ultraviolet-B (UV-B) radiation</t>
  </si>
  <si>
    <t>ULTRAVIOLET-B RADIATION; INCREASED UV-B; CHLOROPHYLL FLUORESCENCE; VASCULAR PLANTS; PHOTOSYNTHESIS; SENSITIVITY; CAROTENOIDS; PIGMENTS; FIELD; LEAF</t>
  </si>
  <si>
    <t>We report a study which measured changes to the radiative environment arising from stratospheric O-3 depletion at Rothera Point on the western Antarctic Peninsula (67degreesS, 68degreesW) and subsequent associations between these changes and the pigmentation and maximum quantum yield of photochemistry (F-v/F-m) of two Antarctic bryophytes, the liverwort Cephaloziella varians and the moss Sanionia uncinata . We found a strong relationship between O-3 column depth and the ratio of UV-B to PAR irradiance (FUV-B/F-PAR) recorded at ground level. Weaker, but significant, associations were also found between O-3 column depth and noon irradiances and daily doses of unweighted and biologically effective UV-B radiation received at ground level. Regression analyses indicated that FUV-B/F-PAR and daily dose of unweighted UV-B were best predictors for concentrations of total carotenoids and UV-B screening pigments extracted from bryophyte tissues. Concentrations of these pigments were loosely but significantly positively associated with O-3-dependent irradiance parameters. HPLC analyses of carotenoids also suggested that both species increased the synthesis of neoxanthin during periods of O-3 depletion. Violaxanthin, lutein, zeaxanthin and betabeta-carotene concentrations were also apparently influenced by O-3 reduction, but not consistently across both bryophyte species. Concentrations of chlorophylls a and b were apparently unaffected by O-3 depletion. No direct associations between F-v/F-m and O-3-dependent irradiance parameters were found. However stepwise multiple regression analyses suggested that the production of UV-B screening pigments conferred protection from elevated FUV-B/F-PAR on F-v/F-m in both species and that carotenoids conferred protection on F-v/F-m in Sanionia . Our data suggest that changes to the radiative environment associated with stratospheric O-3 depletion influence the pigmentation of two Antarctic bryophytes, but that F-v/F-m is unaffected, at least in part because of rapid synthesis of protective pigments.</t>
  </si>
  <si>
    <t>Newsham, KK (corresponding author), British Antarctic Survey, NERC, High Cross,Madingley Rd, Cambridge CB3 0ET, England.</t>
  </si>
  <si>
    <t>Peat, Helen J/E-9666-2015; Newsham, Kevin K/C-4192-2011</t>
  </si>
  <si>
    <t>Peat, Helen/0000-0003-2017-8597</t>
  </si>
  <si>
    <t>10.1046/j.1365-2486.2002.00509.x</t>
  </si>
  <si>
    <t>590YT</t>
  </si>
  <si>
    <t>WOS:000177853000004</t>
  </si>
  <si>
    <t>Kawasaki, T; Sato, K</t>
  </si>
  <si>
    <t>Experimental study of Fe-Mg exchange reaction between orthopyroxene and sapphirine and its calibration as a geothermometer</t>
  </si>
  <si>
    <t>GONDWANA RESEARCH</t>
  </si>
  <si>
    <t>International Geoscience Symposium on Tectono-metamorphic History of Gondwana Fragments</t>
  </si>
  <si>
    <t>JAN 17-19, 2001</t>
  </si>
  <si>
    <t>OKAYAMA, JAPAN</t>
  </si>
  <si>
    <t>Fe-Mg partition; Opx-Spr geothermometer; ultrahigh-temperature granulite; Napier complex; Lutzow-Holm Complex</t>
  </si>
  <si>
    <t>ENDERBY LAND ANTARCTICA; SYSTEM MGO-AL2O3-SIO2; EAST ANTARCTICA; NAPIER COMPLEX; SOLID-SOLUTION; GARNET; GRANULITES; QUARTZ; STABILITY; SOLUBILITY</t>
  </si>
  <si>
    <t>The exchange of Fe2+ and Mg2+ between orthopyroxene and sapphirine has been investigated at pressures 7-16 kbar and temperatures 850-1300degreesC using a piston cylinder apparatus for the synthetic and natural systems. This reaction is temperature-dependent and would be a good geothermometer. The equilibration temperature T is approximately expressed by the distribution coefficient K-D (= (XFeXMgSpr)-X-Ops/(XMgXFeSpr)-X-Opx) as follows: T(degreesC) = 1515/(ln K-D+0.943)-273. This empirical equation was applied to some Antarctic granulites and associated rocks. The new orthopyroxene-sapphirine geothermometer gives consistent results with those estimated from the Fe-Mg orthopyroxene-garnet geothermometer.</t>
  </si>
  <si>
    <t>Ehime Univ, Fac Sci, Div Earth Sci, Dept Biosphere Geosphere Sci, Matsuyama, Ehime 7908577, Japan</t>
  </si>
  <si>
    <t>Ehime University</t>
  </si>
  <si>
    <t>Kawasaki, T (corresponding author), Ehime Univ, Fac Sci, Div Earth Sci, Dept Biosphere Geosphere Sci, Bunkyo Cho 2-5, Matsuyama, Ehime 7908577, Japan.</t>
  </si>
  <si>
    <t>1342-937X</t>
  </si>
  <si>
    <t>GONDWANA RES</t>
  </si>
  <si>
    <t>Gondwana Res.</t>
  </si>
  <si>
    <t>10.1016/S1342-937X(05)70909-6</t>
  </si>
  <si>
    <t>602JF</t>
  </si>
  <si>
    <t>WOS:000178501600002</t>
  </si>
  <si>
    <t>Papa, F; Legresy, B; Mognard, NM; Josberger, EG; Remy, F</t>
  </si>
  <si>
    <t>Estimating terrestrial snow depth with the Topex-Poseidon altimeter and radiometer</t>
  </si>
  <si>
    <t>International Geoscience and Remote Sensing Symposium</t>
  </si>
  <si>
    <t>JUL 09-13, 2001</t>
  </si>
  <si>
    <t>microwave radiometry; Northern Great Plains of the United States; radar altimetry; snow depth</t>
  </si>
  <si>
    <t>ANTARCTIC ICE-SHEET; VARIABILITY; COVER</t>
  </si>
  <si>
    <t>Active and passive microwave measurements obtained by the dual-frequency Topex-Poseidon radar altimeter from the Northern Great Plains of the United States are used to develop a snow pack radar backscatter model. The model results are compared with daily time series of surface snow observations made by the U.S. National Weather Service. The model results show that Ku-band provides more accurate snow depth determinations than does C-band. Comparing the snow depth determinations derived from the Topex-Poseidon nadir-looking passive microwave radiometers with the oblique-looking Satellite Sensor Microwave Imager (SSM/I) passive microwave observations and surface observations shows that both instruments accurately portray the temporal characteristics of the snow depth time series. While both retrievals consistently underestimate the actual snow depths, the Topex-Poseidon results are more accurate.</t>
  </si>
  <si>
    <t>Ctr Natl Etud Spatiales, Lab Etud Geodesie &amp; Oceanog Spatiales, F-31400 Toulouse, France; Ctr Etud Spatiales Biosphere, F-31400 Toulouse, France; US Geol Survey, Tacoma, WA 98402 USA</t>
  </si>
  <si>
    <t>Universite de Toulouse; Universite Toulouse III - Paul Sabatier; Centre National de la Recherche Scientifique (CNRS); Institut de Recherche pour le Developpement (IRD); Laboratoire d'Etudes en Geophysique et oceanographie spatiales; Universite de Toulouse; Universite Toulouse III - Paul Sabatier; Centre National de la Recherche Scientifique (CNRS); Institut de Recherche pour le Developpement (IRD); United States Department of the Interior; United States Geological Survey</t>
  </si>
  <si>
    <t>Ctr Natl Etud Spatiales, Lab Etud Geodesie &amp; Oceanog Spatiales, F-31400 Toulouse, France.</t>
  </si>
  <si>
    <t>fabrice.papa@cnes.fr; benoit.legresy@cnes.fr; nelly.mognard@cesbio.cues.fr; ejosberg@usgs.gov; frederique.remy@cnes.fr</t>
  </si>
  <si>
    <t>Papa, Fabrice/D-3695-2009; legresy, benoit/K-6673-2018</t>
  </si>
  <si>
    <t>Papa, Fabrice/0000-0001-6305-6253; legresy, benoit/0000-0002-1909-1630</t>
  </si>
  <si>
    <t>PISCATAWAY</t>
  </si>
  <si>
    <t>445 HOES LANE, PISCATAWAY, NJ 08855-4141 USA</t>
  </si>
  <si>
    <t>1558-0644</t>
  </si>
  <si>
    <t>10.1109/TGRS.2002.802463</t>
  </si>
  <si>
    <t>625CC</t>
  </si>
  <si>
    <t>WOS:000179798500007</t>
  </si>
  <si>
    <t>Doe, BR</t>
  </si>
  <si>
    <t>Further considerations of the Ce/Yb vs. Ba/Ce plot in volcanology and tectonics</t>
  </si>
  <si>
    <t>INTERNATIONAL GEOLOGY REVIEW</t>
  </si>
  <si>
    <t>SOUTHWEST INDIAN RIDGE; PLATEAU VOLCANIC FIELD; TRACE-ELEMENT GEOCHEMISTRY; MAUNA-KEA VOLCANO; TRISTAN-DA-CUNHA; DE-FUCA RIDGE; MAGMA GENESIS; ISLAND-ARC; KERGUELEN PLUME; CANARY-ISLANDS</t>
  </si>
  <si>
    <t>A plot of Ce/Yb vs. Ba/Ce, for locality averages, effectively separates mid-ocean ridge basalts (MORB) (Ce/Yb &lt;10, Ba/Ce 1-4.2), oceanic island volcanics (OIV) (Ce/Yb &gt;10, Ba/Ce &lt;6), which are generally hotspot related, and island are volcanics (IAV) (Ce/Yb &lt;23, Ba/Ce &gt;4.2). The conventional interpretation is that these three types of volcanic environments involve oceanic rift-related, large-volume partial melts (-20-30%) of a depleted source (MORB), small volume melts (-5% for alkalic volcanics) of enriched sources related to plumes (OIV), and melts of hydrous-enriched sources during subduction, especially for Ba (IAV). Three OIV sites, however, have average ratios that fall in the MORB field (e.g., Krafla Volcano, Iceland), and these localities also tend to have other geochemical data similar to MORB. Average ratios of Hawaiian tholeiitic shield basalts of Mauna Kea and Koolau volcanoes occupy a restricted field on a plot of Ce/Yb vs. Ba/Ce of 10-18 for Ce/Yb and 2.8-3.1 for Ba/Ce, a field toward which other shield basalts and cone-building volcanics regress. In general, post-shield alkalic rocks have higher values of Ce/Yb than do tholeiites. Peralkalic basalts (basanites, melilitites, and phonolites) have even higher values of Ce/Yb, reflecting smaller degrees of partial melting (perhaps 1-2%) and melting of sources containing phlogopite that were enriched by CO2-dominated fluids. The minor post-erosion nephelinitic suites of Hawaii (e.g., the Honolulu Series on Oahu, and the Koloa suite on Kauai) generally have values both greater than IAV for Ce/Yb and greater than other kinds of OIV for Ba/Ce in a part of the plot previously not found to be occupied by data. Alkali basalts of both these nephelinitic series have the lowest and similar ratios (Ce/Yb -25; Ba/Ce -10). In the Hawaiian Islands, there are two trends. One (a), where phlogopite has been interpreted to remain in the source, generally has Ba/Ce decrease away from the alkali basalts as Ce/Yb increases. The other (b), where phlogopite has been interpreted to enter the melt, occupies a field that is high in both Ce/Yb (&gt;30) relative to IAV and in Ba/Ce (&gt;8) relative to the OIV field. There are some exceptions, also, for IAV that plot outside the IAV field. The values of Ce/Yb in Mariana Islands samples, for example, are exceptionally low for the IAV (Ce/Yb &lt;5 with many samples &lt;2). Examples of two cross-chain Kasuga Islands, however, have average values of Ce/Yb considerably greater than for any other Mariana Islands data, and individual samples extend from within the IAV field into the OIV field, which may indicate a mixture of IAV and OIV sources (rather than involvement of a hotspot, these island volcanics have been interpreted as magma of OIV entrapped plums in an IAV pudding by Stern et al., 1993). Not surprisingly, continental arc volcanics (CAV) are generally similar to IAV, but with somewhat greater dispersion in Ce/Yb, perhaps representing a larger contribution of continental materials to the volcanics. Continental rift volcanics (CRV) are complex. The Antarctic rift data fall in the OIV field, and clearly define a hotspot origin for the rift with little contamination in the continental lithosphere, but most CRV data fall in the IAV field (Rio Grande rift tholeiites, Yellowstone Plateau basalts, Columbia River basalts, East African rift basalts). The Yellowstone basalt samples judged to be least crustally contaminated from other considerations (e.g., through Ph and Sr isotopes) approach closest to the OIV or hotspot field in the Ce/Yb vs. Ba/Ce plot, compatible with a hotspot origin with variable continental lithosphere interactions. The data from the Rio Grande rift have no such trend in CefYb vs. Ba/Ce. Other trace element and isotopic data are suggestive of a different kind of origin, perhaps melting in the continental lithosphere from pressure release or other causes as suggested in the literature. Carbonatites, kimberlites, and ultrapotassic rocks form extreme end members for the peralkalic rocks on the continents with Ce/Yb values in the hundreds and even exceeding 1,000 in natrocarbonatite. Carbonatites and kimberlite type I, however, have Ba/Ce &lt;8 with few exceptions. Ultrapotassic rocks and kimberlite type II also have Ce/Yb values in the hundreds but with Ba/Ce &gt;9. These rocks, although rare in the ocean basins (e.g., carbonatite on Sao Vicente Island in the Cape Verdes archipelago, Indian Ocean) plot similarly to their continental cousins. For Hawaii, the nephelinitic suites of both the Honolulu and Koloa series trend from alkali and alkali olivine basalt ratios toward higher signatures for Ce/Yb for other rock types. The Honolulu series, however, progresses towards smaller values of Ba/Ce for nephelinite-melilitite (Ce/Yb -85; Ba/Ce -5-7) near the low end of Ce/Yb found in carbonatite/kimberlite type I, whereas the Koloa series progresses toward higher Ba/Ce (Ce/Yb -65; Ba/Ce -14-15) for nephelinite-melilitite with Ce/Yb values near the lower end of kimberlite type II/ultrapotassic rocks. Carbonated phlogopitie sources have been proposed for peralkalic rocks of both oceans and continents. Carbonatites and/or kimberlites are suggested to possibly be present at depth under the Hawaiian nephelinitic series and in other OIV environments containing peralkalic Suites.</t>
  </si>
  <si>
    <t>US Geol Survey, Reston, VA USA</t>
  </si>
  <si>
    <t>United States Department of the Interior; United States Geological Survey</t>
  </si>
  <si>
    <t>Doe, BR (corresponding author), US Geol Survey, 954 Natl Ctr, Reston, VA USA.</t>
  </si>
  <si>
    <t>V H WINSTON &amp; SON INC</t>
  </si>
  <si>
    <t>PALM BEACH</t>
  </si>
  <si>
    <t>360 SOUTH OCEAN BLVD, PH-B, PALM BEACH, FL 33480 USA</t>
  </si>
  <si>
    <t>0020-6814</t>
  </si>
  <si>
    <t>INT GEOL REV</t>
  </si>
  <si>
    <t>Int. Geol. Rev.</t>
  </si>
  <si>
    <t>10.2747/0020-6814.44.10.877</t>
  </si>
  <si>
    <t>634GL</t>
  </si>
  <si>
    <t>WOS:000180331600001</t>
  </si>
  <si>
    <t>Marshall, GJ</t>
  </si>
  <si>
    <t>Analysis of recent circulation and thermal advection change in the northern Antarctic Peninsula</t>
  </si>
  <si>
    <t>INTERNATIONAL JOURNAL OF CLIMATOLOGY</t>
  </si>
  <si>
    <t>Antarctic Peninsula; climate change; surface temperature; atmospheric circulation; reanalysis; Southern Hemisphere annular mode</t>
  </si>
  <si>
    <t>LOW-FREQUENCY VARIABILITY; SOUTHERN-HEMISPHERE; TEMPERATURE TRENDS; CLIMATE-CHANGE; REANALYSIS; PRECIPITATION; OSCILLATION; SIGNAL</t>
  </si>
  <si>
    <t>Changes in circulation at 500 and 850 hPa and horizontal thermal advection between these two levels are examined at Bellingshausen station in the northern Antarctic Peninsula between 1969 and 2000. A synthesis of radiosonde observations and reanalysis data is employed, the latter being 'corrected' to remove any bias and trend versus the observations. These data only reveal statistically significant increases in the annual zonal wind component; although the mean direction of the thermal advection is 339degrees there is no indication of increasing northerlies coincident with the remarkable regional surface warming. Seasonally, the zonal wind is most highly correlated with Surface temperature in autumn and winter, the seasons showing the greatest temperature rise. This Suggests that the increasing westerlies have played a role in the recent warming, and several authors have Postulated that this results from a trend towards the positive phase of the Southern Hemisphere annular mode (SAM). However, a comparison between a regional zonal circulation index derived independently from observations and the reanalysis data used in past Studies of the SAM indicates long-term increases in the latter may be an artefact caused by errors in the early reanalysis data. While observations do indicate an increase in the zonal wind since the late 1970s, coincident with a decline in the strength of the semi-annual oscillation, there is no clear evidence of circulation changes driving the long-term Antarctic Peninsula surface warming. Copyright (C) 2002 Royal Meteorological Society.</t>
  </si>
  <si>
    <t>Marshall, GJ (corresponding author), British Antarctic Survey, NERC, High Cross,Madingley Rd, Cambridge CB3 0ET, England.</t>
  </si>
  <si>
    <t>0899-8418</t>
  </si>
  <si>
    <t>INT J CLIMATOL</t>
  </si>
  <si>
    <t>Int. J. Climatol.</t>
  </si>
  <si>
    <t>10.1002/joc.814</t>
  </si>
  <si>
    <t>610KC</t>
  </si>
  <si>
    <t>WOS:000178958400009</t>
  </si>
  <si>
    <t>Meinen, CS; Luther, DS; Watts, DR; Tracey, KL; Chave, AD; Richman, J</t>
  </si>
  <si>
    <t>Combining inverted echo sounder and horizontal electric field recorder measurements to obtain absolute velocity profiles</t>
  </si>
  <si>
    <t>INDUCED ELECTROMAGNETIC-FIELDS; ANTARCTIC CIRCUMPOLAR CURRENT; MEASURE DYNAMIC HEIGHT; NORTH-ATLANTIC CURRENT; GULF-STREAM; GEOSTROPHIC VELOCITY; GALVANIC DISTORTION; AGULHAS CURRENT; LOW-FREQUENCY; TRANSPORT</t>
  </si>
  <si>
    <t>Profiles of absolute velocity are difficult to obtain in the ocean, especially over long periods of time at the same location. This paper presents a method of estimating full water column absolute horizontal velocity profiles as a function of time by combining historical hydrography with the measurements from two separate instruments, the inverted echo sounder (IES) and the horizontal electric field recorder (HEFR). Hydrography is used to construct temperature, salinity, and specific volume anomaly characteristics as functions of the independent variables pressure and seafloor-to-sea-surface round-trip acoustic travel time (tau). Each IES measured tau is combined with these two-dimensional characteristics to estimate the profile of specific volume anomaly, which then is integrated vertically to obtain profiles of geopotential height anomaly (Deltaphi). Profiles of Deltaphi from adjacent IES sites are differenced to yield vertical profiles of relative geostrophic velocity. Horizontal electric fields arising from the vertically averaged horizontal water velocity provide the requisite referencing of the IES-derived relative velocities. Comparisons are presented between HEFR+IES absolute velocities in the Southern Ocean near 51degreesS, 143.5degreesE and absolute velocities determined via hydrography, acoustic Doppler current profiler, and current meter.</t>
  </si>
  <si>
    <t>Univ Hawaii Manoa, Dept Oceanog, Honolulu, HI 96822 USA; Univ Rhode Isl, Narragansett, RI USA; Woods Hole Oceanog Inst, Woods Hole, MA 02543 USA; Oregon State Univ, Corvallis, OR 97331 USA</t>
  </si>
  <si>
    <t>University of Hawaii System; University of Hawaii Manoa; University of Rhode Island; Woods Hole Oceanographic Institution; Oregon State University</t>
  </si>
  <si>
    <t>Meinen, CS (corresponding author), Univ Hawaii Manoa, Dept Oceanog, 1000 Pope Rd,MSB 205, Honolulu, HI 96822 USA.</t>
  </si>
  <si>
    <t>Luther, Douglas/ABF-4047-2020; Meinen, Christopher/G-1902-2012</t>
  </si>
  <si>
    <t>Meinen, Christopher/0000-0002-8846-6002</t>
  </si>
  <si>
    <t>10.1175/1520-0426(2002)019&lt;1653:CIESAH&gt;2.0.CO;2</t>
  </si>
  <si>
    <t>596XY</t>
  </si>
  <si>
    <t>WOS:000178192800012</t>
  </si>
  <si>
    <t>Tutino, ML; Parrilli, E; Giaquinto, L; Duilio, A; Sannia, G; Feller, G; Marino, G</t>
  </si>
  <si>
    <t>Secretion of α-amylase from Pseudoalteromonas haloplanktis TAB23:: Two different pathways in different hosts</t>
  </si>
  <si>
    <t>PROTEIN SECRETION; ALTEROMONAS-HALOPLANCTIS; ANTARCTIC BACTERIUM; EXPRESSION; SEQUENCE; CLONING; SYSTEMS</t>
  </si>
  <si>
    <t>Secretion of cold-adapted alpha-amylase from Pseudoalteromonas haloplanktis TAB23 was studied in three Antarctic bacteria. We demonstrated that the enzyme is specifically secreted in the psychrophilic hosts even in the absence of a protein domain that has been previously reported to be necessary for alpha-amylase secretion in Escherichia coli. The occurrence of two different secretion pathways in different hosts is proposed.</t>
  </si>
  <si>
    <t>Univ Naples Federico II, Dipartimento Chim Organ &amp; Biochim, Compless Univ Monte Sant Angelo, I-80126 Naples, Italy; Univ Liege, Lab Biochim, Inst Chim B6, Liege, Belgium</t>
  </si>
  <si>
    <t>University of Naples Federico II; University of Liege</t>
  </si>
  <si>
    <t>Tutino, ML (corresponding author), Univ Naples Federico II, Dipartimento Chim Organ &amp; Biochim, Compless Univ Monte Sant Angelo, Via Cinthia, I-80126 Naples, Italy.</t>
  </si>
  <si>
    <t>TUTINO, MARIA LUISA/L-1834-2013; parrilli, ermenegilda/JAZ-0586-2023; parrilli, ermenegilda/K-4616-2016</t>
  </si>
  <si>
    <t>parrilli, ermenegilda/0000-0002-9002-5409; DUILIO, Angela/0000-0002-6833-1303; Tutino, Maria Luisa/0000-0002-4978-6839; SANNIA, Giovanni/0000-0002-7986-6223</t>
  </si>
  <si>
    <t>10.1128/JB.184.20.5814-5817.2002</t>
  </si>
  <si>
    <t>598MK</t>
  </si>
  <si>
    <t>WOS:000178279900034</t>
  </si>
  <si>
    <t>Williams, MJM; Warner, RC; Budd, WF</t>
  </si>
  <si>
    <t>Sensitivity of the Amery Ice Shelf, Antarctica, to changes in the climate of the Southern Ocean</t>
  </si>
  <si>
    <t>CIRCULATION BENEATH; THERMOHALINE CIRCULATION; MASS-BALANCE; MODEL; BASE</t>
  </si>
  <si>
    <t>Coupled ocean-atmospheric general circulation models indicate that warming of up to 3degreesC may occur over the next century in waters immediately to the north of the Amery Ice Shelf. The impact of this warming on the ocean cavity under the Amery Ice Shelf and the mass exchange at the interface between the ocean cavity and the ice shelf is investigated using a three-dimensional ocean model. Warming of between 0.25degrees and 3.0degreesC is applied along the ice front in a series of model runs, rather than in a single transient run. Changes in salinity are also considered for larger amounts of warming. The model results show that the circulation in the ocean cavity changes as warming increases, particularly in the gyres that dominate the horizontal circulation. The changes in the heat flux from the warming increase the melt rates from the base of the Amery Ice Shelf, from the present-day mean melt rate and net mass loss estimates of 0.28 m yr(-1) and 14.2 Gt yr(-1), respectively, by approximately 0.55 m yr(-1) degreesC(-1) and 28.4 Gt yr(-1)degreesC(-1). The maximum melt rates increase much more strongly, by around 10 m yr(-1)degreesC(-1). These increased rates of melting suggest substantial modification of the ice shelf would occur in a warmer climate, particularly near the grounding line, and thus indicate that warming of the oceans around Antarctica has the potential for significant impact on the Antarctic ice sheet.</t>
  </si>
  <si>
    <t>Univ Copenhagen, Danish Ctr Earth Syst Sci, Niels Bohr Inst Phys Geophys &amp; Astron, Copenhagen, Denmark; Antarctic CRC, Hobart, Tas, Australia; Australian Antarctic Div, Hobart, Tas, Australia</t>
  </si>
  <si>
    <t>University of Copenhagen; Australian Antarctic Division</t>
  </si>
  <si>
    <t>Natl Inst Water &amp; Atmospher Res, POB 14 901, Wellington, New Zealand.</t>
  </si>
  <si>
    <t>m.williams@niwa.cri.nz</t>
  </si>
  <si>
    <t>Warner, Robert R./M-5342-2013; Williams, Michael/H-9674-2014</t>
  </si>
  <si>
    <t>Warner, Roland/0000-0002-9778-3544</t>
  </si>
  <si>
    <t>10.1175/1520-0442(2002)015&lt;2740:SOTAIS&gt;2.0.CO;2</t>
  </si>
  <si>
    <t>593RQ</t>
  </si>
  <si>
    <t>WOS:000178006300002</t>
  </si>
  <si>
    <t>van Lipzig, NPM; van Meijgaard, E; Oerlemans, J</t>
  </si>
  <si>
    <t>Temperature sensitivity of the Antarctic surface mass balance in a regional atmospheric climate model</t>
  </si>
  <si>
    <t>ICE SHEETS; ACCUMULATION RATES; SEA-ICE; CO2; GREENLAND; PREDICTION; DEPENDENCE; GENESIS; SCHEME</t>
  </si>
  <si>
    <t>The sensitivity of the surface mass balance of the Antarctic ice sheet to a change in temperature and a change in the sea ice extent is studied with a regional atmospheric climate model (RACMO) using a horizontal grid spacing of 55 km. The model is driven at its lateral boundaries by the reanalyses from the European Centre for Medium-Range Weather Forecasts. Sea ice extent and sea surface temperature are prescribed from observations. A control integration is performed for the 5-yr period 1980-84. In a 5-yr sensitivity run, the model is forced by a 2-K increase in temperature at the sea surface and at the lateral boundaries of the model domain, and a reduction in the sea ice extent. The relative humidity at the lateral boundaries is kept constant. The calculated surface mass balance of the grounded Antarctic ice is found to increase by 30% due to the 2-K warming and the retreat of the sea ice. This value is two to three times as large as previous estimates, which were based on simplified atmospheric models and on statistical relations between the surface temperature and the surface mass balance. Additional sensitivity runs show that applying the forcing throughout the atmosphere in the lateral boundary zone has a more significant effect than applying the forcing at the sea surface, especially for the interior of the ice sheet. If only an increase in the sea surface temperature or a retreat of the sea ice is prescribed, the increase in temperature and specific humidity is restricted to the lowest 2 km of the atmosphere above the ocean. Sensitivity runs with forcings in the range of -5 to +10 K indicate that the commonly used assumption stating that the surface mass balance responds in proportion to the change in continental saturation specific humidity at the inversion height is an oversimplification.</t>
  </si>
  <si>
    <t>Royal Netherlands Meteorol Inst KNMI, De Bilt, Netherlands; Inst Marine &amp; Atmospher Res Utrecht IMAU, Utrecht, Netherlands</t>
  </si>
  <si>
    <t>Royal Netherlands Meteorological Institute; Utrecht University</t>
  </si>
  <si>
    <t>British Antarctic Survey, Madingley Rd, Cambridge CB3 0ET, England.</t>
  </si>
  <si>
    <t>nvl@bas.ac.uk</t>
  </si>
  <si>
    <t>van Lipzig, Nicole/ABF-2964-2021; Oerlemans, Johannes/G-3802-2011</t>
  </si>
  <si>
    <t>van Lipzig, Nicole/0000-0003-2899-4046;</t>
  </si>
  <si>
    <t>10.1175/1520-0442(2002)015&lt;2758:TSOTAS&gt;2.0.CO;2</t>
  </si>
  <si>
    <t>WOS:000178006300003</t>
  </si>
  <si>
    <t>Fraser, KPP; Clarke, A; Peck, LS</t>
  </si>
  <si>
    <t>Low-temperature protein metabolism:: seasonal changes in protein synthesis and RNA dynamics in the Antarctic limpet Nacella concinna Strebel 1908</t>
  </si>
  <si>
    <t>protein synthesis; RNA : protein ratio; Antarctic limpet; Nacella concinna; temperature</t>
  </si>
  <si>
    <t>NUCLEIC-ACID CONTENT; COD GADUS-MORHUA; ATP-CONSUMING PROCESSES; RAINBOW-TROUT; ONCORHYNCHUS-MYKISS; SYNTHESIS RATES; ENERGY-STORAGE; GROWTH-RATE; WHOLE-BODY; TURNOVER</t>
  </si>
  <si>
    <t>Protein synthesis is a fundamental and energetically expensive physiological process in all living organisms. Very few studies have examined the specific challenges of manufacturing proteins at low ambient temperatures. At high southern latitudes, water temperatures are continually below or near freezing and are highly stable, while food availability is very seasonal. To examine the effects of low temperature and a highly seasonal food supply on protein metabolism, we have measured whole. body protein synthesis, RNA concentrations, RNA:protein ratios and RNA translational efficiencies in the Antarctic limpet Nacella concinna at four times of the year. From summer to winter, protein synthesis rates decreased by 52%, RNA concentrations decreased by 55% and RNA:protein ratios decreased by 68%, while RNA translational efficiencies were low and very variable. Protein synthesis rates in N. concinna approached those measured in temperate mussels, while RNA:protein ratios were considerably higher than in temperate species. Interspecific comparisons show that species living at low temperatures have elevated RNA:protein ratios, which are probably needed to counteract a thermally induced reduction in RNA translational efficiency. Calculations using theoretical energetic costs of protein synthesis suggest that Antarctic species may allocate a larger proportion of their metabolic budget to protein synthesis than do temperate or tropical species.</t>
  </si>
  <si>
    <t>British Antarctic Survey, Nat Environm Res Council, High Cross,Madingley Rd, Cambridge CB3 0ET, England.</t>
  </si>
  <si>
    <t>kppf@pcmail.nerc-bas.ac.uk</t>
  </si>
  <si>
    <t>604ZZ</t>
  </si>
  <si>
    <t>WOS:000178652100012</t>
  </si>
  <si>
    <t>Bowser, SS; Bernhard, JM; Habura, A; Gooday, AJ</t>
  </si>
  <si>
    <t>Structure, taxonomy and ecology of Astrammina triangularis (Earland), an allogromiid-like agglutinated foraminifer from Explorers Cove, Antarctica</t>
  </si>
  <si>
    <t>JOURNAL OF FORAMINIFERAL RESEARCH</t>
  </si>
  <si>
    <t>RIBOSOMAL DNA-SEQUENCES; ASTRORHIZA-LIMICOLA; MCMURDO SOUND; POSITION; RARA; MORPHOLOGY; NOV</t>
  </si>
  <si>
    <t>Astrorhiza triangularis (Earland) is transferred to the genus Astrammina based on structural and molecular analyses of abundant material collected from Explorers Cove, McMurdo Sound, Antarctica. This large, unilocular agglutinated species was previously known from only 14 specimens collected on the Atlantic side of the Antarctic continent. It resembles Astrammina rara in possessing an allogromiid-like sarcode (cell body) and laminated theca surrounded by a large intratest space. Astrammina triangularis makes an important contribution to foraminiferal biomass in Explorers Cove. Live specimens are orientated upright in the sediment and, in laboratory experiments, feed on algal and metazoan prey.</t>
  </si>
  <si>
    <t>New York State Dept Hlth, Wadsworth Ctr Labs &amp; Res, Albany, NY 12201 USA; SUNY Albany, Dept Biomed Sci, Albany, NY 12222 USA; Univ S Carolina, Dept Environm Hlth Sci, Columbia, SC 29208 USA; Southampton Oceanog Ctr, Southampton SO14 3ZH, Hants, England</t>
  </si>
  <si>
    <t>State University of New York (SUNY) System; Wadsworth Center; State University of New York (SUNY) System; State University of New York (SUNY) Albany; University of South Carolina System; University of South Carolina Columbia; University of Southampton; NERC National Oceanography Centre</t>
  </si>
  <si>
    <t>Bowser, SS (corresponding author), New York State Dept Hlth, Wadsworth Ctr Labs &amp; Res, Pob 509, Albany, NY 12201 USA.</t>
  </si>
  <si>
    <t>Gooday, Andrew/AAH-8991-2021; Gooday, Andrew/ABB-4267-2020; Bernhard, Joan/M-3260-2013</t>
  </si>
  <si>
    <t>Gooday, Andrew/0000-0002-5661-7371; Bernhard, Joan/0000-0003-2121-625X</t>
  </si>
  <si>
    <t>CUSHMAN FOUNDATION FORAMINIFERAL RES</t>
  </si>
  <si>
    <t>MUSEUM COMPARATIVE ZOOLOGY, DEPT INVERTEBRATE PALEONTOLOGY 26 OXFORD ST, HARVARD UNIV, CAMBRIDGE, MA 02138 USA</t>
  </si>
  <si>
    <t>0096-1191</t>
  </si>
  <si>
    <t>J FORAMIN RES</t>
  </si>
  <si>
    <t>J. Foraminifer. Res.</t>
  </si>
  <si>
    <t>10.2113/0320364</t>
  </si>
  <si>
    <t>632TE</t>
  </si>
  <si>
    <t>WOS:000180238300006</t>
  </si>
  <si>
    <t>Zwally, HJ; Schutz, B; Abdalati, W; Abshire, J; Bentley, C; Brenner, A; Bufton, J; Dezio, J; Hancock, D; Harding, D; Herring, T; Minster, B; Quinn, K; Palm, S; Spinhirne, J; Thomas, R</t>
  </si>
  <si>
    <t>ICESat's laser measurements of polar ice, atmosphere, ocean, and land</t>
  </si>
  <si>
    <t>JOURNAL OF GEODYNAMICS</t>
  </si>
  <si>
    <t>DYNAMIC ORBIT DETERMINATION; ELEVATION-CHANGE; AIRBORNE LIDAR; IGBP DISCOVER; GREENLAND; SHEET; ALTIMETER; VEGETATION; TEMPERATURE; ACCURACY</t>
  </si>
  <si>
    <t>The Ice, Cloud and Land Elevation Satellite (ICESat) mission will measure changes in elevation of the Greenland and Antarctic ice sheets as part of NASA's Earth Observing System (EOS) of satellites. Time-series of elevation changes will enable determination of the present-day mass balance of the ice sheets, study of associations between observed ice changes and polar climate, and estimation of the present and future contributions of the ice sheets to global sea level rise. Other scientific objectives of ICESat include: global measurements of cloud heights and the vertical structure of clouds and aerosols; precise measurements of land topography and vegetation canopy heights; and measurements of sea ice roughness, sea ice thickness, ocean surface elevations, and surface reflectivity. The Geoscience Laser Altimeter System (GLAS) on ICESat has a 1064 nm laser channel for surface altimetry and dense cloud heights and a 532 nm lidar channel for the vertical distribution of clouds and aerosols. The predicted accuracy for the surface-elevation measurements is 15 em, averaged over 60 m diameter laser footprints spaced at 172 m alongtrack. The orbital altitude will be around 600 km at an inclination of 94degrees with a 183-day repeat pattern. The on-board GPS receiver will enable radial orbit determinations to better than 5 cm, and star-trackers will enable footprints to be located to 6 m horizontally. The spacecraft attitude will be controlled to point the laser beam to within 35 m of reference surface tracks at high latitudes. ICESat is designed to operate for 3-5 years and should be followed by successive missions to measure ice changes for at least 75 years. (C) 2002 Published by Elsevier Science Ltd.</t>
  </si>
  <si>
    <t>NASA, Goddard Space Flight Ctr, Earth Sci Directorate, Greenbelt, MD 20771 USA; Univ Texas, Space Res Ctr, Austin, TX 78722 USA; NASA Headquarters, Washington, DC USA; Univ Wisconsin, Dept Geol &amp; Geophys, Madison, WI 53706 USA; NASA, Goddard Space Flight Ctr, Raytheon ITSS, Greenbelt, MD 20771 USA; NASA, Goddard Space Flight Ctr, ICESat Project Off, Greenbelt, MD 20771 USA; MIT, Cambridge, MA 02139 USA; Univ Calif San Diego, Scripps Inst Oceanog, La Jolla, CA 92093 USA; NASA, Goddard Space Flight Ctr, SSAI, Greenbelt, MD 20771 USA; NASA, Wallops Flight Facil, EG&amp;G Inc, Wallops Isl, VA 23337 USA</t>
  </si>
  <si>
    <t>National Aeronautics &amp; Space Administration (NASA); NASA Goddard Space Flight Center; University of Texas System; University of Texas Austin; National Aeronautics &amp; Space Administration (NASA); Mary W. Jackson NASA Headquarters; University of Wisconsin System; University of Wisconsin Madison; National Aeronautics &amp; Space Administration (NASA); NASA Goddard Space Flight Center; National Aeronautics &amp; Space Administration (NASA); NASA Goddard Space Flight Center; Massachusetts Institute of Technology (MIT); University of California System; University of California San Diego; Scripps Institution of Oceanography; National Aeronautics &amp; Space Administration (NASA); NASA Goddard Space Flight Center; National Aeronautics &amp; Space Administration (NASA); NASA Goddard Space Flight Center; Wallops Flight Facility</t>
  </si>
  <si>
    <t>NASA, Goddard Space Flight Ctr, Earth Sci Directorate, Code 900, Greenbelt, MD 20771 USA.</t>
  </si>
  <si>
    <t>zwally@icesatz.gsfc.nasa.gov</t>
  </si>
  <si>
    <t>Spinhirne, James D/D-2541-2011; Harding, David/F-5913-2012; Abshire, James/I-2800-2013</t>
  </si>
  <si>
    <t>Herring, Thomas/0000-0002-6030-0545</t>
  </si>
  <si>
    <t>0264-3707</t>
  </si>
  <si>
    <t>J GEODYN</t>
  </si>
  <si>
    <t>J. Geodyn.</t>
  </si>
  <si>
    <t>PII S0264-3707(02)00042-X</t>
  </si>
  <si>
    <t>10.1016/S0264-3707(02)00042-X</t>
  </si>
  <si>
    <t>602BK</t>
  </si>
  <si>
    <t>WOS:000178484800006</t>
  </si>
  <si>
    <t>Ferko, TE; Wang, MS; Lipschutz, ME</t>
  </si>
  <si>
    <t>Chemical studies of H chondrites - 11. Cosmogenic radionuclides in falls</t>
  </si>
  <si>
    <t>JOURNAL OF GEOPHYSICAL RESEARCH-PLANETS</t>
  </si>
  <si>
    <t>COMPLEX EXPOSURE HISTORIES; NON-ANTARCTIC METEORITES; NOBLE-GASES; METEOROID STREAMS; PRODUCTION-RATES; TRACE-ELEMENTS; PARENT BODY; NUCLIDES; AGES; CONFIRMATION</t>
  </si>
  <si>
    <t>We measured the long-lived cosmogenic radionuclides Be-10, Al-26, and Cl-36 in 47 H chondrite falls: 13 Cluster 1'' members, 9 Cluster 5'' members, and 25 random falls. From the date and time of fall, Clusters 1 and 5 were previously identified as possible coorbital meteoroid streams with distinctive thermal histories being confirmed by contents of volatile trace elements. Here, we use model data, including a three-radionuclide plot (Be-10(bulk)/Al-26(bulk) versus Cl-36(metal)/Al-26(bulk)) and the multivariate statistical techniques of logistic regression and linear discriminant analysis to compare radionuclide levels and their utility to differentiate specific suites from other H chondrites. From our radionuclide results and from noble gas data from other workers, we identified 35 falls with simple irradiation histories and cosmic ray exposure ages &gt;4 Ma. Eight others exhibit evidence for shorter (less than or equal to4 Ma) exposure, three of which had complex exposure histories (two having been reported by others previously); three others may have had such a history. In any event, the small proportion of H chondrite falls with complex exposure histories supports recent suggestions that they are not commonly encountered, as earlier workers suggested. Although cosmogenic radionuclides do not differentiate between Cluster 1 and a random set of H chondrites, H chondrites that lost He-3 from solar heating are distinguishable from those with normal He-3 levels.</t>
  </si>
  <si>
    <t>Purdue Univ, Dept Chem, W Lafayette, IN 47907 USA</t>
  </si>
  <si>
    <t>Purdue University System; Purdue University</t>
  </si>
  <si>
    <t>Calif Baptist Univ, Dept Nat Sci, 8432 Magnolia Ave, Riverside, CA 94550 USA.</t>
  </si>
  <si>
    <t>maapuml@purdue.edu</t>
  </si>
  <si>
    <t>2169-9097</t>
  </si>
  <si>
    <t>2169-9100</t>
  </si>
  <si>
    <t>J GEOPHYS RES-PLANET</t>
  </si>
  <si>
    <t>J. Geophys. Res.-Planets</t>
  </si>
  <si>
    <t>E10</t>
  </si>
  <si>
    <t>10.1029/2001JE001527</t>
  </si>
  <si>
    <t>639MW</t>
  </si>
  <si>
    <t>WOS:000180634100007</t>
  </si>
  <si>
    <t>Petkaki, P</t>
  </si>
  <si>
    <t>Polarization properties of ULF waves in the Jovian middle magnetosphere</t>
  </si>
  <si>
    <t>Jupiter; magnetometer data; ion-cyclotron waves; crossover frequency</t>
  </si>
  <si>
    <t>ION-CYCLOTRON WAVES; 1-2 MAGNETIC PULSATIONS; PLASMA TORUS; EQUATORIAL MAGNETOSPHERE; CROSSOVER FREQUENCY; ULYSSES; INSTABILITY; FIELD</t>
  </si>
  <si>
    <t>Polarization analysis of ultralow frequency waves in the ion cyclotron wave range is presented. The waves were observed with the Ulysses magnetometer during the flyby of the Jovian magnetosphere in 1992. During the inbound pass of Ulysses in the dawnside of Jupiter and in low to intermediate latitudes, the wave signatures show either elliptically left- or right-handed polarization and in one occasion linear polarization. During the outbound pass when the spacecraft was south of the magnetic equator in the duskside and in intermediate latitudes, the polarization of the events is found to be mostly right handed in the frequency range of ion cyclotron waves. Even though the statistical sample of events is limited, the relevance of crossover frequencies in the Jovian multicomponent plasma is strongly indicated by the observations. Further investigation into a more complete set of data covering both day and midnight sectors of the Jovian magnetosphere along with meridian variation is considered to be necessary in order to resolve the propagation properties of ion cyclotron waves in the cold multi-ion plasma of Jupiter's magnetosphere.</t>
  </si>
  <si>
    <t>Univ London Imperial Coll Sci Technol &amp; Med, Blackett Lab, London, England</t>
  </si>
  <si>
    <t>Petkaki, P (corresponding author), British Antarctic Survey, Div Phys Sci, Madingley Rd,High Cross, Cambridge CB3 0ET, England.</t>
  </si>
  <si>
    <t>ppe@bas.ac.uk</t>
  </si>
  <si>
    <t>10.1029/2001JE001824</t>
  </si>
  <si>
    <t>WOS:000180634100017</t>
  </si>
  <si>
    <t>Velicogna, I; Wahr, J</t>
  </si>
  <si>
    <t>A method for separating antarctic postglacial rebound and ice mass balance using future ICESat Geoscience Laser Altimeter System, Gravity Recovery and Climate Experiment, and GPS satellite data</t>
  </si>
  <si>
    <t>GRACE; Antarctica; postglacial rebound; ice mass imbalance; altimeter; GPS</t>
  </si>
  <si>
    <t>MODEL; FLUCTUATIONS; EARTH</t>
  </si>
  <si>
    <t>[1] Measurements of ice elevation from the Geoscience Laser Altimeter System (GLAS) aboard the Ice, Cloud, and Land Elevation Satellite can be combined with time-variable geoid measurements from the Gravity Recovery and Climate Experiment (GRACE) satellite mission to learn about ongoing changes in polar ice mass and viscoelastic rebound of the lithosphere under the ice sheet. We estimate the accuracy in recovering the spatially varying ice mass trend and postglacial rebound signals for Antarctica, from combining 5 years of simulated GRACE and GLAS data. We obtain root-mean square accuracies of 5.3 and 19.9 mm yr(-1) for postglacial rebound and ice mass trend, respectively, when smoothed over 250 km scales. The largest source of error in the combined signals is the effect of the unknown time-variable accumulation on the density of the ice column. To estimate this contribution and so obtain better estimates of ice mass trend and postglacial rebound, we add Global Positioning System (GPS) measurements of vertical velocities as additional constraints. Using an empirical relation between the errors in postglacial rebound and ice mass trend that result from the unknown density variation within the ice column, we are able to solve for all three unknowns in the problem: ice mass trend, postglacial rebound, and the snow compaction trend. The addition of a plausible distribution of GPS measurements reduces the errors in estimates of postglacial rebound and ice mass trend to 3.4 and 15.9 mm yr(-1), respectively.</t>
  </si>
  <si>
    <t>Univ Colorado, Dept Phys, Boulder, CO 80309 USA; Univ Colorado, Cooperat Inst Res Environm Sci, Boulder, CO 80309 USA</t>
  </si>
  <si>
    <t>University of Colorado System; University of Colorado Boulder; University of Colorado System; University of Colorado Boulder</t>
  </si>
  <si>
    <t>Univ Colorado, Dept Phys, Campus Box 390, Boulder, CO 80309 USA.</t>
  </si>
  <si>
    <t>isabella@colorado.edu; wahr@colorado.edu</t>
  </si>
  <si>
    <t>Velicogna, Isabella/R-5561-2018</t>
  </si>
  <si>
    <t>B10</t>
  </si>
  <si>
    <t>10.1029/2001JB000708</t>
  </si>
  <si>
    <t>637RC</t>
  </si>
  <si>
    <t>WOS:000180525500057</t>
  </si>
  <si>
    <t>Chisham, G; Coleman, IJ; Freeman, MP; Pinnock, M; Lester, M</t>
  </si>
  <si>
    <t>Ionospheric signatures of split reconnection X-lines during conditions of IMF Bz &lt; 0 and |By| ∼ |Bz|:: Evidence for the antiparallel merging hypothesis -: art. no. 1323</t>
  </si>
  <si>
    <t>magnetic reconnection; antiparallel merging hypothesis; ionospheric convection; SuperDARN</t>
  </si>
  <si>
    <t>INTERPLANETARY MAGNETIC-FIELD; HIGH-LATITUDE CONVECTION; SMALL-SCALE IRREGULARITIES; HF RADAR OBSERVATIONS; DAYSIDE MAGNETOPAUSE; F-REGION; PLASMA CONVECTION; PATTERNS; SUPERDARN; VELOCITY</t>
  </si>
  <si>
    <t>[1] We present measurements of the convection electric field in the dayside ionosphere during extended intervals when the interplanetary magnetic field (IMF) has a negative B-z component and a significant B-y component (|B-y | similar to |B-z|). Under these conditions, distinct differences in the ionospheric projection of the magnetopause reconnection X-line are predicted by the antiparallel and subsolar merging hypotheses. Close to solstice, in the winter hemisphere the antiparallel merging hypothesis predicts two ionospheric merging lines which are significantly separated either side of noon. This prediction is not expected from any subsolar merging hypothesis (e. g., component merging). Using the method of global convection mapping with line-of-sight velocity data from the SuperDARN HF radar network, we present evidence of two distinct merging regions on the dayside magnetopause under these IMF and seasonal conditions. The two merging regions manifest themselves in the ionosphere as two regions of convection flow with a strong poleward component separated by a region of convection flow with either a weak poleward or equatorward component corresponding to an adiaroic portion of the polar cap boundary. The spatiotemporal nature of the actual convection scenario can be complicated, but the predicted pattern represents a recurring feature of the convection electric field under these IMF and seasonal conditions. These observations lend support to the hypothesis that antiparallel merging is the dominant form of magnetopause reconnection during these steady state IMF intervals. This suggests that the magnetic shear between magnetosheath and magnetospheric magnetic field lines plays the major role in determining the location of reconnection on the dayside magnetopause.</t>
  </si>
  <si>
    <t>British Antarctic Survey, NERC, Cambridge CB3 0ET, England; Univ Leicester, Dept Phys &amp; Astron, Leicester LE1 7RH, Leics, England</t>
  </si>
  <si>
    <t>UK Research &amp; Innovation (UKRI); Natural Environment Research Council (NERC); NERC British Antarctic Survey; University of Leicester</t>
  </si>
  <si>
    <t>G.Chisham@bas.ac.uk; I.J.Coleman@bas.ac.uk; M.P.Freeman@bas.ac.uk; M.Pinnock@bas.ac.uk; mle@ion.le.ac.uk</t>
  </si>
  <si>
    <t>A10</t>
  </si>
  <si>
    <t>10.1029/2001JA009124</t>
  </si>
  <si>
    <t>634RF</t>
  </si>
  <si>
    <t>WOS:000180353900058</t>
  </si>
  <si>
    <t>Murr, DL; Hughes, WJ; Rodger, AS; Zesta, E; Frey, HU; Weatherwax, AT</t>
  </si>
  <si>
    <t>Conjugate observations of traveling convection vortices: The field-aligned current system</t>
  </si>
  <si>
    <t>ionosphere; field-aligned current; traveling convection vortices; conjugate</t>
  </si>
  <si>
    <t>COSMIC NOISE ABSORPTION; TWIN VORTICES; DAYSIDE; EVENTS; SIGNATURES; PRECIPITATION; MAGNETOSPHERE; CONDUCTIVITY; MAGNETOPAUSE; DEFORMATION</t>
  </si>
  <si>
    <t>Analysis of a single traveling convection vortex (TCV) event that combines magnetometer, auroral imager, and riometer observations from conjugate hemispheres provides a complete view of the field-aligned current (FAC) system associated with the TCV. Conjugate observations clearly show that the TCV is a pair of FACs that flow alternatively out of and then into both ionospheres. Imaging observations at 427.8 nm indicate that the upward FAC region is associated with a narrow arc 50-100 km wide and at least 600 km long. Mapping the imaging observations made in the Southern Hemisphere to the Northern Hemisphere shows excellent collocation of the precipitation with the flow vortex associated with the upward FAC as inferred from a large two-dimensional network of magnetometers. Also consistent with the flows inferred from the magnetometers, the arc is found to be skewed with respect to the direction of motion of the transient. Low-altitude spacecraft passes near the time of the event suggest that the FAC is coincident with, and possibly confined to, a relatively narrow region (less than 3 in latitude) in which 1-10 keV electrons characteristic of the central plasma sheet are present.</t>
  </si>
  <si>
    <t>Boston Univ, Ctr Space Phys, Boston, MA 02215 USA; British Antarctic Survey, Cambridge CB3 0ET, England; Univ Calif Los Angeles, Dept Atmospher Sci, Los Angeles, CA 90024 USA; Univ Calif Berkeley, Space Sci Lab, Berkeley, CA 94720 USA; Univ Maryland, Inst Phys Sci &amp; Technol, College Pk, MD 20742 USA; Siena Coll, Dept Phys, Loudonville, NY USA</t>
  </si>
  <si>
    <t>Boston University; UK Research &amp; Innovation (UKRI); Natural Environment Research Council (NERC); NERC British Antarctic Survey; University of California System; University of California Los Angeles; University of California System; University of California Berkeley; University System of Maryland; University of Maryland College Park</t>
  </si>
  <si>
    <t>Boston Univ, Ctr Space Phys, Boston, MA 02215 USA.</t>
  </si>
  <si>
    <t>Frey, Harald/0000-0001-8955-3282; Weatherwax, Allan/0000-0003-4732-358X</t>
  </si>
  <si>
    <t>10.1029/2002JA009456</t>
  </si>
  <si>
    <t>WOS:000180353900041</t>
  </si>
  <si>
    <t>Wilson, A; Stoker, PH</t>
  </si>
  <si>
    <t>Imaging riometer observations on energetic electron precipitation at SANAE IV, Antarctica</t>
  </si>
  <si>
    <t>imaging riometer; energetic particle precipitation; substorm expansion phase; all-sky optical aurora; westward traveling surges</t>
  </si>
  <si>
    <t>INCOHERENT-SCATTER RADAR; SUBSTORM EXPANSION PHASE; NOISE ABSORPTION; INJECTIONS; DYNAMICS; EVENTS; SCALE</t>
  </si>
  <si>
    <t>[1] The expansion phase of a substorm on the evening of 1 May 1997 was studied from recordings of all- sky optical aurora and a 64- beam imaging riometer at the Antarctic base SANAE IV (L = 4. 1). Digitized all- sky, low- level white light images of auroral optical emissions were mapped onto the angular directivity functions of the 64- beam imaging riometer. During the period of investigation, several optical arcs appeared and disappeared, while a persistent absorption structure appeared in the south (poleward). This and new structures changed only slowly in time. The differences in morphologies of optical emissions and absorption regions, together with temporal differences, imply that there are two categories of energetic auroral electrons: the softer electrons (&lt; 10 keV) causing optical emissions in the E and F regions of the ionosphere and the harder (&gt; 10 keV) electrons ionizing down into the D region for cosmic radio noise absorption (CRNA). Optical emissions tend to lead the appearance of cosmic radio noise absorptions by 0- 60 s in a specific region of ionospheric space. Furthermore, in the all- sky optical data, westward traveling surges (WTS) were observed coincident with a CRNA WTS and leading the CRNA WTS by similar to 30- 50 s. In the CRNA data the WTS was ribbon- like, traveling westward at a speed of 2.3 km s (-1). These observations suggest that the softer electrons, causing E and F region optical emissions, may be injected onto drift paths closer to Earth than the more energetic electrons, ionizing down into the D region for cosmic radio noise absorption. The harder electrons could have been accelerated by, for instance, an increasing dawn- to- dusk electric field for later precipitation.</t>
  </si>
  <si>
    <t>Potchefstroom Univ Christian Higher Educ, Unit Space Phys, ZA-2520 Potchefstroom, South Africa</t>
  </si>
  <si>
    <t>North West University - South Africa</t>
  </si>
  <si>
    <t>Wilson, A (corresponding author), Potchefstroom Univ Christian Higher Educ, Unit Space Phys, ZA-2520 Potchefstroom, South Africa.</t>
  </si>
  <si>
    <t>fskphs@puknet.puk.ac.za</t>
  </si>
  <si>
    <t>10.1029/2000JA000463</t>
  </si>
  <si>
    <t>WOS:000180353900003</t>
  </si>
  <si>
    <t>Schloss, IR; Ferreyra, GA; Ruiz-Pino, D</t>
  </si>
  <si>
    <t>Phytoplankton biomass in Antarctic shelf zones: a conceptual model based on Potter Cove, King George Island</t>
  </si>
  <si>
    <t>Phytoplankton growth; critical depth; turbulent mixing; conceptual model; Antarctica; King George Island; Potter Cove</t>
  </si>
  <si>
    <t>WESTERN BRANSFIELD STRAIT; ICE-EDGE; MARINE-PHYTOPLANKTON; SOUTHERN-OCEAN; ADMIRALTY BAY; GROWTH-RATES; SEA; LIMITATION; SUMMER; LIGHT</t>
  </si>
  <si>
    <t>Antarctic coasts are usually considered productive areas. However, some shallow coastal areas are known to be HNLC systems where even if favourable conditions for phytoplankton growth are apparent, phytoplankton biomass remains low. This study aims to analyse the processes that may modulate phytoplankton biomass in Antarctic shallow coastal environments. In situ phytoplankton production and growth experiments from Potter Cove (King George Island, Antarctica) are related to the prevailing oceanographic and meteorological conditions. A conceptual model has been developed, relating Antarctic phytoplankton growth during the spring-summer season to winds, sea-ice extent and the influence of the inland on the light-mixing regime. An attempt has been made to find the environmental threshold values for the factors controlling phytoplankton accumulation. The results from applying such a model suggest that, in spite of high nutrient concentrations, the combination of the time scale of the physical factors affecting both the radiation penetrating the water column and the depth of vertical turbulent mixing explain the low phytoplankton biomass values observed. Application of this model to other high-latitude areas (open ocean and coastal zones) is discussed. (C) 2002 Elsevier Science B.V All rights reserved.</t>
  </si>
  <si>
    <t>Inst Antartico Argentino, Buenos Aires, DF, Argentina; Consejo Nacl Invest Cient &amp; Tecn, RA-1033 Buenos Aires, DF, Argentina; Univ Paris 06, LBCM, F-75005 Paris, France</t>
  </si>
  <si>
    <t>Instituto Antartico Argentino; Consejo Nacional de Investigaciones Cientificas y Tecnicas (CONICET); Sorbonne Universite</t>
  </si>
  <si>
    <t>Inst Antartico Argentino, Cerrito 1248,C1010AAZ, Buenos Aires, DF, Argentina.</t>
  </si>
  <si>
    <t>ischloss@dna.gov.ar</t>
  </si>
  <si>
    <t>Schloss, Irene R./U-5411-2018</t>
  </si>
  <si>
    <t>Schloss, Irene R./0000-0002-5917-8925; Ferreyra, Gustavo Adolfo/0000-0003-1953-5067</t>
  </si>
  <si>
    <t>PII S0924-7963(02)00183-5</t>
  </si>
  <si>
    <t>10.1016/S0924-7963(02)00183-5</t>
  </si>
  <si>
    <t>610VP</t>
  </si>
  <si>
    <t>WOS:000178982400001</t>
  </si>
  <si>
    <t>Boyd, PW</t>
  </si>
  <si>
    <t>Environmental factors controlling phytoplankton processes in the Southern Ocean</t>
  </si>
  <si>
    <t>JOURNAL OF PHYCOLOGY</t>
  </si>
  <si>
    <t>Antarctic; environmental control; irradiance; nutrients; phytoplankton; trace metals</t>
  </si>
  <si>
    <t>SUB-ARCTIC PACIFIC; ANTARCTIC CIRCUMPOLAR CURRENT; RELEASE EXPERIMENT SOIREE; WESTERN ROSS SEA; ICE-EDGE ZONE; IRON FERTILIZATION EXPERIMENT; AUSTRAL SPRING 1992; POLAR FRONTAL ZONE; ATLANTIC SECTOR; PHAEOCYSTIS-ANTARCTICA</t>
  </si>
  <si>
    <t>The factors controlling the distribution of phytoplankton stocks, species composition, and their physiological status in the Southern Ocean are reviewed. In the last decade, the key data sources have been observational and experimental. Together, they provide a framework to understand the complex temporal and spatial patterns of environmental control within the distinct basins and ecological provinces. High resolution remotely sensed observational data have overcome the issue of geographical remoteness. Furthermore, by exploiting seasonal and spatial differences in algal distributions, observational data have enabled the cross-correlation of such trends with patterns in other environmental properties. Perturbation experiments have offered a mechanistic understanding to help interpret observational data by altering environmental properties under carefully controlled conditions. A consistent set of trends, on the modes of environmental control of phytoplankton processes, is now emerging across the different basins and provinces. The key determinants are light, iron, and silicic acid supply (top-down control was not considered). However, their interplay in time and space (i.e. simultaneous limitation of phytoplankton processes) is less clear, requires further study, and is discussed. Future challenges include the need to understand better the mode(s) of environmental control on key algal functional groups via more taxon- and species-specific studies. The initiation of more time-series moorings with smart bio-optical and sampling sensors are needed to define the seasonal distributions of algal taxa. Moreover, new perturbation experiments are required to investigate the influence on phytoplankton processes of projected climate-mediated alteration of mixed layer depth and nutrient supply as widely predicted by modelers.</t>
  </si>
  <si>
    <t>Univ Otago, Dept Chem, Ctr Chem &amp; Phys Oceanog, Natl Inst Water &amp; Atmospher Res, Dunedin, New Zealand</t>
  </si>
  <si>
    <t>National Institute of Water &amp; Atmospheric Research (NIWA) - New Zealand; University of Otago</t>
  </si>
  <si>
    <t>Univ Otago, Dept Chem, Ctr Chem &amp; Phys Oceanog, Natl Inst Water &amp; Atmospher Res, POB 56, Dunedin, New Zealand.</t>
  </si>
  <si>
    <t>Pboyd@alkali.otago.ac.nz</t>
  </si>
  <si>
    <t>Boyd, Philip/J-7624-2014</t>
  </si>
  <si>
    <t>Boyd, Philip/0000-0001-7850-1911</t>
  </si>
  <si>
    <t>0022-3646</t>
  </si>
  <si>
    <t>1529-8817</t>
  </si>
  <si>
    <t>J PHYCOL</t>
  </si>
  <si>
    <t>J. Phycol.</t>
  </si>
  <si>
    <t>10.1046/j.1529-8817.2002.t01-1-01203.x</t>
  </si>
  <si>
    <t>608MD</t>
  </si>
  <si>
    <t>WOS:000178849400002</t>
  </si>
  <si>
    <t>Lüder, UH; Wiencke, C; Knoetzel, J</t>
  </si>
  <si>
    <t>Acclimation of photosynthesis and pigments during and after six months of darkness in Palmaria decipiens (Rhodophyta):: A study to simulate Antarctic winter sea ice cover</t>
  </si>
  <si>
    <t>Antarctica; darkness; day length; Palmaria decipiens; photoacclimation; photosynthesis; phycobiliproteins; Rhodophyta; seasonality</t>
  </si>
  <si>
    <t>KING-GEORGE-ISLAND; LONG-TERM CULTURE; CHLOROPHYLL FLUORESCENCE; PROLONGED DARKNESS; ADAPTIVE RESPONSES; DIATOM MORTALITY; SEASONAL GROWTH; QUANTUM YIELD; RED ALGAE; LIGHT</t>
  </si>
  <si>
    <t>The influence of seasonally fluctuating photoperiods on the photosynthetic apparatus of Palmaria decipiens (Reinsch) Ricker was studied in a year-round culture experiment. The optimal quantum yield (F-v/F-m) and the maximal relative electron transport rate (ETRmax), measured by in vivo chl fluorescence and pigment content, were determined monthly. During darkness, an initial increase in pigment content was observed. After 3 months in darkness, ETRmax and F-v/F-m started to decrease considerably. After 4 months in darkness, degradation of the light-harvesting antennae, the phycobilisomes, began, and 1 month later the light harvesting complex I and/or the reaction centers of PSII and/or PSI degraded. Pigment content and photosynthetic performance were at their minimum at the end of the 6-month dark period. Within 24 h after re-illumination, P. decipiens started to accumulate chl a and to photosynthesize. The phycobiliprotein accumulation began after a time lag of about 7 days. Palmaria decipiens reached ETRmax values comparable with the values before darkness 7 days after re-illumination and maximal values after 30 days of re-illumination. Over the summer, P. decipiens reduced its photosynthetic performance and pigment content, probably to avoid photodamage caused by excess light energy. The data show that P. decipiens is able to adapt to the short period of favorable light conditions and to the darkness experienced in the field.</t>
  </si>
  <si>
    <t>Fdn Alfred Wegener Inst, Inst Polar &amp; Marine Res, D-27570 Bremerhaven, Germany; Univ Bremen, Inst Cell Biol Biochem &amp; Biotechnol, D-28334 Bremen, Germany</t>
  </si>
  <si>
    <t>Helmholtz Association; Alfred Wegener Institute, Helmholtz Centre for Polar &amp; Marine Research; University of Bremen</t>
  </si>
  <si>
    <t>Lüder, UH (corresponding author), Monash Univ, Sch Biol Sci, POB 18, Clayton, Vic 3800, Australia.</t>
  </si>
  <si>
    <t>BLACKWELL PUBLISHING INC</t>
  </si>
  <si>
    <t>350 MAIN ST, MALDEN, MA 02148 USA</t>
  </si>
  <si>
    <t>10.1046/j.1529-8817.2002.t01-1-01071.x</t>
  </si>
  <si>
    <t>WOS:000178849400007</t>
  </si>
  <si>
    <t>Banks, H; Wood, R; Gregory, J</t>
  </si>
  <si>
    <t>Changes to Indian Ocean subantarctic mode water in a coupled climate model as CO2 forcing increases</t>
  </si>
  <si>
    <t>INTERMEDIATE WATER; DECADAL CHANGES; SOUTHERN-OCEAN; MASS FORMATION; CIRCULATION; SECTION</t>
  </si>
  <si>
    <t>Subantarctic mode water (SAMW) has been shown to be a good indicator of anthropogenic climate change in coupled climate models. SAMW in a coupled climate model and the response of modeled SAMW to increasing CO2 are examined in detail. How SAMW adjusts from climatological values toward a new equilibrium in the coupled model, with different climatological temperature and salinity properties, is shown. The combined formation rate of SAMW and Antarctic intermediate water is calculated as approximately 18 Sv (Sv = 10(6) m(3) s(-1)) in the Indian sector of the Southern Ocean, slightly lower than climatological values would suggest. When forced with increasing CO2, SAMW is produced at a similar rate but at lower densities. This result suggests that the rate of heat uptake in this part of the ocean will be unchanged by anthropogenic forcing. The important signal in the response of SAMW is the shift to colder and fresher values on isopycnals that is believed to be related to changes in thermodynamic surface forcing. It is shown that, given uniform forcing, SAMW is expected to enhance the signal relative to other water masses. Independent increases in surface heating or freshwater forcing can produce changes similar to those observed, but the two different types of forcing are distinguishable using separate forcing experiments, hodographs, and passive anomaly tracers. The changes in SAMW forced by increasing CO2 are dominated by surface heating, but changes to freshwater fluxes are also important.</t>
  </si>
  <si>
    <t>Hadley Ctr Climate Predict &amp; Res, Met Off, Bracknell RG12 2SY, Berks, England</t>
  </si>
  <si>
    <t>Banks, H (corresponding author), Hadley Ctr Climate Predict &amp; Res, Met Off, London Rd, Bracknell RG12 2SY, Berks, England.</t>
  </si>
  <si>
    <t>Gregory, Jonathan/J-2939-2016</t>
  </si>
  <si>
    <t>Gregory, Jonathan/0000-0003-1296-8644; Hewitt, Helene/0000-0001-7432-6001</t>
  </si>
  <si>
    <t>10.1175/1520-0485(2002)032&lt;2816:CTIOSM&gt;2.0.CO;2</t>
  </si>
  <si>
    <t>594XY</t>
  </si>
  <si>
    <t>WOS:000178078800007</t>
  </si>
  <si>
    <t>Maffia, M; Rizzello, A; Verri, T; Acierno, R; Danieli, A; Daniel, H; Storelli, C</t>
  </si>
  <si>
    <t>Characterisation of the intestinal peptide transporter of the Antarctic haemoglobinless teleost Chionodraco hamatus</t>
  </si>
  <si>
    <t>JOURNAL OF PHYSIOLOGY-LONDON</t>
  </si>
  <si>
    <t>Conference of the Physiological-Society</t>
  </si>
  <si>
    <t>JUL 08-11, 2002</t>
  </si>
  <si>
    <t>UNIV LIVERPOOL, LIVERPOOL, ENGLAND</t>
  </si>
  <si>
    <t>UNIV LIVERPOOL</t>
  </si>
  <si>
    <t>Univ Munich, Inst Nutr Sci Physiol &amp; Biochem Nutr, D-85350 Freising Weihenstephan, Germany; Univ Lecce, Dept Biol &amp; Environm Sci &amp; Technol, I-73100 Lecce, Italy</t>
  </si>
  <si>
    <t>University of Munich; University of Salento</t>
  </si>
  <si>
    <t>Verri, Tiziano/K-1442-2013; MAFFIA, MICHELE/AAC-2943-2020; Daniel, Hannelore/B-8982-2009</t>
  </si>
  <si>
    <t>Verri, Tiziano/0000-0003-4983-2767;</t>
  </si>
  <si>
    <t>0022-3751</t>
  </si>
  <si>
    <t>1469-7793</t>
  </si>
  <si>
    <t>J PHYSIOL-LONDON</t>
  </si>
  <si>
    <t>J. Physiol.-London</t>
  </si>
  <si>
    <t>47P</t>
  </si>
  <si>
    <t>48P</t>
  </si>
  <si>
    <t>Neurosciences; Physiology</t>
  </si>
  <si>
    <t>Neurosciences &amp; Neurology; Physiology</t>
  </si>
  <si>
    <t>612KM</t>
  </si>
  <si>
    <t>WOS:000179074100084</t>
  </si>
  <si>
    <t>Schmidt, K; Koski, M; Engström-öst, J; Atkinson, A</t>
  </si>
  <si>
    <t>Development of Baltic Sea zooplankton in the presence of a toxic cyanobacterium:: a mesocosm approach</t>
  </si>
  <si>
    <t>COPEPODS EURYTEMORA-AFFINIS; PELAGIC FOOD WEBS; NODULARIA-SPUMIGENA; ESTUARINE COPEPODS; CALANOID COPEPODS; ACARTIA-BIFILOSA; EGG-PRODUCTION; PHYTOPLANKTON COMMUNITIES; NONTOXIC CYANOBACTERIA; CHEMICAL DEFENSES</t>
  </si>
  <si>
    <t>Cyanobacteria blooms are common in the Baltic Sea and are considered to be a poor food source and sometimes toxic to zooplankton. Most experiments demonstrating harmful effects have been short-term incubations with monocultures or simple mixtures of food. In this study, a mesocosm approach was used to examine zooplankton responses over generation timescales. A toxic strain of the cyanobacterium Nodularia spumigena was added to bag enclosures of ambient water. The initial mesozooplankton concentration was either reduced by prescreening the water or enriched with locally caught zooplankton. Experiments ran for 15 days, long enough to monitor reproductive success and development of the next mesozooplankton generations. There was no major harmful effect on the zooplankton assemblage, even though the concentration of the toxin nodularin was in the upper range of field observations. The copepod Eurytemora affinis, rotifers Synchaeta spp. and the cladoceran Bosmina longispina maritima were able to develop and reproduce successfully in the presence of N. spumigena. The only species showing impaired recruitment was the copepod Acartia bifilosa. The general lack of population level effects from N. spumigena in this study can be reconciled with previous observations of adverse effects. Cyanobacteria alone may be poor food and toxic to zooplankton, but in the mesocosms a rich assemblage of microbiota developed, similar to that associated with blooms in the field. We suggest that, in the context of otherwise food-depleted summer situations in the open Baltic Sea, zooplankton can derive benefit from cyanobacteria bloom assemblages.</t>
  </si>
  <si>
    <t>Baltic Sea Res Inst Warnemunde, D-18119 Rostock, Germany; Univ Helsinki, Dept Systemat &amp; Ecol, Div Hydrobiol, FIN-00014 Helsinki, Finland; Univ Helsinki, Tvarminne Zool Stn, FIN-10900 Hango, Finland; Finnish Inst Marine Res, FIN-00931 Helsinki, Finland; British Antarctic Survey, NERC, Cambridge CB3 0ET, England</t>
  </si>
  <si>
    <t>Leibniz Institut fur Ostseeforschung Warnemunde; University of Helsinki; University of Helsinki; UK Research &amp; Innovation (UKRI); Natural Environment Research Council (NERC); NERC British Antarctic Survey</t>
  </si>
  <si>
    <t>Schmidt, K (corresponding author), Baltic Sea Res Inst Warnemunde, Seestr 15, D-18119 Rostock, Germany.</t>
  </si>
  <si>
    <t>katrin.schmidt@io-warnemuende.de</t>
  </si>
  <si>
    <t>Engström-Öst, Jonna/C-7373-2008; Atkinson, Angus/HOH-3417-2023</t>
  </si>
  <si>
    <t>Koski, Marja/0000-0002-1860-9768</t>
  </si>
  <si>
    <t>1464-3774</t>
  </si>
  <si>
    <t>10.1093/plankt/24.10.979</t>
  </si>
  <si>
    <t>603KQ</t>
  </si>
  <si>
    <t>WOS:000178558900002</t>
  </si>
  <si>
    <t>Frazer, TK; Quetin, LB; Ross, RM</t>
  </si>
  <si>
    <t>Abundance, sizes and developmental stages of larval krill, Euphausia superba, during winter in ice-covered seas west of the Antarctic Peninsula</t>
  </si>
  <si>
    <t>BEHAVIOR; DANA</t>
  </si>
  <si>
    <t>Larval krill were sampled west of the Antarctic Peninsula during three winter cruises: September 1991, June 1993 and September 1993. Larval abundances were estimated from net catches and compared directly to visual counts (made by a SCUBA diver) of larvae occupying the ice habitat at the same sampling stations. The number of larvae per square meter sampled with nets was more often greater than that observed by the diver, irrespective of the sampling period. However, comparisons of larval abundance within sampling periods were not statistically significant. Larval krill collected by divers were significantly larger than those collected with nets for each of the three cruises. The stage composition of larval krill also depended on the collection method: net-collected samples contained a disproportionately high number of early furcilia larvae in June 1993 (early winter), and a disproportionately low number of early juveniles during September 1991 and 1993 (late winter). These results lead us to suggest that larval/juvenile krill occupy both the water column and sea ice habitat during the austral winter, and that there are often differences in the sizes and developmental stages of the two groups. For larval krill that occupied the sea ice habitat, aggregations were larger and more numerous during late winter than in early winter. In addition, larvae within aggregations occupied structurally complex microhabitats, provided by over-rafted ice floes, more often than they occupied smooth, downward-facing ice surfaces where ice was not over-rafted.</t>
  </si>
  <si>
    <t>Univ Florida, Inst Food &amp; Agr Sci, Dept Fisheries &amp; Aquat Sci, Gainesville, FL 32653 USA; Univ Calif Santa Barbara, Inst Marine Sci, Santa Barbara, CA 93106 USA</t>
  </si>
  <si>
    <t>Frazer, TK (corresponding author), Univ Florida, Inst Food &amp; Agr Sci, Dept Fisheries &amp; Aquat Sci, 7922 NW 71st St, Gainesville, FL 32653 USA.</t>
  </si>
  <si>
    <t>10.1093/plankt/24.10.1067</t>
  </si>
  <si>
    <t>WOS:000178558900009</t>
  </si>
  <si>
    <t>Hall, BL; Denton, GH; Overturf, B; Hendy, CH</t>
  </si>
  <si>
    <t>Glacial Lake Victoria, a high-level Antarctic lake inferred from lacustrine deposits in Victoria Valley</t>
  </si>
  <si>
    <t>Glacial Lake Victoria; Antarctica; dry valleys; Victoria Valley</t>
  </si>
  <si>
    <t>MCMURDO DRY VALLEYS; EARLY HOLOCENE; WISCONSIN; CLIMATE</t>
  </si>
  <si>
    <t>We present evidence of a large lake (Glacial Lake Victoria) that existed in Victoria Valley in the dry valleys region of Antarctica between at least 20000 and 8600 C-14 yr BP. At its highstands, Glacial Lake Victoria covered 100 km(2) and was ca. 200 m deep. The chronology for lake-level changes comes from 87 AMS radiocarbon dates of lacustrine algae preserved in deltas and glaciolacustrine deposits that extend up to 185 m above present-day lakes on the valley floor. The existence of Glacial Lake Victoria, as well as other large lakes in the dry valleys, indicates a climate regime significantly different from that of today at the last glacial maximum and in the early Holocene. Copyright (C) 2002 John Wiley Sons, Ltd.</t>
  </si>
  <si>
    <t>Univ Maine, Bryand Global Sci Ctr 311, Dept Geol Sci, Orono, ME 04469 USA; Univ Maine, Inst Quaternary &amp; Climate Studies, Orono, ME 04469 USA; Univ Waikato, Dept Chem, Hamilton, New Zealand</t>
  </si>
  <si>
    <t>University of Maine System; University of Maine Orono; University of Maine System; University of Maine Orono; University of Waikato</t>
  </si>
  <si>
    <t>Univ Maine, Bryand Global Sci Ctr 311, Dept Geol Sci, Orono, ME 04469 USA.</t>
  </si>
  <si>
    <t>Brendah@maine.edu</t>
  </si>
  <si>
    <t>1099-1417</t>
  </si>
  <si>
    <t>10.1002/jqs.691</t>
  </si>
  <si>
    <t>618FT</t>
  </si>
  <si>
    <t>WOS:000179408600007</t>
  </si>
  <si>
    <t>Heusser, CJ</t>
  </si>
  <si>
    <t>On glaciation of the southern Andes with special reference to the Peninsula de Taitao and adjacent Andean cordillera (∼46°30'S)</t>
  </si>
  <si>
    <t>JOURNAL OF SOUTH AMERICAN EARTH SCIENCES</t>
  </si>
  <si>
    <t>glaciation; southern Andes; glacial limits</t>
  </si>
  <si>
    <t>DEGLACIAL PALEOCLIMATE; GLACIER FLUCTUATIONS; LAST GLACIATION; RIDGE COLLISION; SAN-RAFAEL; CHILE; QUATERNARY; HOLOCENE; PATAGONIA; ARGENTINA</t>
  </si>
  <si>
    <t>Ice fronts in the southern Andes during late Wisconsin-Weichselian glaciation reached maxima early and late in oxygen isotope stage 2. The first maximum occurred between 29,400 and 22,300 C-14 yr (BP), and the second is centered around 15,000 C-14 yr (BP). Glaciers at different latitudes varied in size, apparently in response to maximum levels of precipitation from the moisture-bearing southern Westerlies. Following deglaciation, which was reached in the interior midlatitude cordillera earlier than 12,300 C-14 yr (BP), a late glacial readvance of Younger Dryas age is indicated by an increasing number of glacial geomorphic and paleoccological records, but it remains controversial. During stage 2, the cordillera supported a complex of ice caps and valley glaciers. On the Peninsula de Taitao and to the south, glaciers reaching low altitudes were evidently small compared with the large piedmont lobes that covered the sector encompassing the Region de Ins Lagos-Isla Grande de Chiloe to the north. Flowing from an icecap on Taitao, valley glaciers became coalesced only locally, thereby giving rise to small piedmont lobes. Adjacent to Taitao in the Andes, where there is little studied evidence of stage 2 glaciation, the oldest dated advances appear to be late Holocene. Glaciers at this latitude, situated in the Tres Montes fracture zone at the Antarctic-Nazca-South American triple plate junction, have been subjected to tectonic activity. (C) 2002 Elsevier Science Ltd. All rights reserved.</t>
  </si>
  <si>
    <t>Heusser &amp; Heusser, Tuxedo Pk, NY 10987 USA</t>
  </si>
  <si>
    <t>Heusser, CJ (corresponding author), Heusser &amp; Heusser, 100 Clinton Rd, Tuxedo Pk, NY 10987 USA.</t>
  </si>
  <si>
    <t>0895-9811</t>
  </si>
  <si>
    <t>J S AM EARTH SCI</t>
  </si>
  <si>
    <t>J. South Am. Earth Sci.</t>
  </si>
  <si>
    <t>PII S0895-9811(02)00076-7</t>
  </si>
  <si>
    <t>10.1016/S0895-9811(02)00076-7</t>
  </si>
  <si>
    <t>613BT</t>
  </si>
  <si>
    <t>WOS:000179111700007</t>
  </si>
  <si>
    <t>Piatkowski, U; Vergani, DF; Stanganelli, ZB</t>
  </si>
  <si>
    <t>Changes in the cephalopod diet of southern elephant seal females at King George Island, during El Nino-La Nina events</t>
  </si>
  <si>
    <t>MIROUNGA-LEONINA; OCEAN; MOVEMENTS; PREY</t>
  </si>
  <si>
    <t>Possible effects of 'El Nino' Southern Oscillation (ENSO) components 'El Nino' and 'La Nina' on populations of southern elephant seals, Mirounga leonina, were analysed. Changes in the cephalopod diet composition of moulting females at King George Island, Antarctic Peninsula were considered. The diet of female elephant seals sampled in 1991-1992 and 1992-1993 (El Nino years) were compared with those taken in 1995-1996 (La Nina year) at the same site and employing the same methodology. The squid Psychroteuthis glacialis constituted the main cephalopod prey of the seals. A reduction in the 'Index of Biomass Ingested' by female elephant seals (IBIF) of this prey species was observed in 'El Nino' years (1992, 1993) compared with the 'La Nina' year (1996). This reduction in biomass applied to all squid species in the seals' prey with the exception of Galiteuthis glacialis, which occurred in low numbers, but was more abundant during El Nino years than in the La Nina year.</t>
  </si>
  <si>
    <t>Univ Kiel, Inst Meereskunde, D-24105 Kiel, Germany; Consejo Nacl Invest Cient &amp; Tecn, CENPAT, Proyecto Cyber Atlas, Ctr Nacl Patagonico, RA-9120 Puerto Madryn, Chubut, Argentina</t>
  </si>
  <si>
    <t>University of Kiel; Centro Nacional Patagonico (CENPAT); Consejo Nacional de Investigaciones Cientificas y Tecnicas (CONICET)</t>
  </si>
  <si>
    <t>Piatkowski, U (corresponding author), Univ Kiel, Inst Meereskunde, Dusternbrooker Weg 20, D-24105 Kiel, Germany.</t>
  </si>
  <si>
    <t>Piatkowski, Uwe/G-4161-2011</t>
  </si>
  <si>
    <t>Piatkowski, Uwe/0000-0003-1558-5817</t>
  </si>
  <si>
    <t>10.1017/S0025315402006343</t>
  </si>
  <si>
    <t>613RG</t>
  </si>
  <si>
    <t>WOS:000179144800027</t>
  </si>
  <si>
    <t>Wilson, RS; Kuchel, LJ; Franklin, CE; Davison, W</t>
  </si>
  <si>
    <t>Turning up the heat on subzero fish: thermal dependence of sustained swimming in an Antarctic notothenioid</t>
  </si>
  <si>
    <t>swimming performance; thermal dependence; Pagothenia borchgrevinki; fish; Antarctic</t>
  </si>
  <si>
    <t>PAGOTHENIA-BORCHGREVINKI; PERFORMANCE; TEMPERATURES; SENSITIVITY; ADAPTATION; BEHAVIOR; ICE</t>
  </si>
  <si>
    <t>We determined the maximum sustained swimming speed (U-crit), and resting and maximum ventilation rates of the Antarctic fish Pagothenia borchgrevinki at five temperatures between -1degreesC and 8degreesC. We also determined resting metabolic rate (VO2) at -1degreesC, 2degreesC, and 4degreesC. U-crit of P. borchgrevinki was highest at -1degreesC (2.7+/-0.1 BL s(-1)) and rapidly decreased with temperature, representing a thermal performance breadth of only 5degreesC. This narrow thermal performance supports our prediction that specialisation to the subzero Antarctic marine environment is associated with a physiological trade-off in performance at high temperatures. Resting oxygen consumption and ventilation rate increased by more than 200% across the temperature range, which most likely contribute to the decrease in aerobic swimming capabilities at higher temperatures. (C) 2002 Published by Elsevier Science Ltd.</t>
  </si>
  <si>
    <t>Univ Queensland, Dept Zool &amp; Entomol, Physiol Ecol Lab, St Lucia, Qld 4072, Australia; Univ Canterbury, Dept Zool, Christchurch 1, New Zealand</t>
  </si>
  <si>
    <t>Wilson, RS (corresponding author), Univ Instelling Antwerp, Dept Biol, Univ Pl 1, B-2610 Wilrijk, Belgium.</t>
  </si>
  <si>
    <t>Wilson, Robbie S/F-1463-2011; Kuchel, Louise J/G-7368-2012; Franklin, Craig/G-7343-2012</t>
  </si>
  <si>
    <t>Kuchel, Louise J/0000-0003-1737-0203; Franklin, Craig/0000-0003-1315-3797; Wilson, Robbie/0000-0002-0116-5427</t>
  </si>
  <si>
    <t>PII S0306-4565(02)00006-2</t>
  </si>
  <si>
    <t>10.1016/S0306-4565(02)00006-2</t>
  </si>
  <si>
    <t>589BZ</t>
  </si>
  <si>
    <t>WOS:000177739300008</t>
  </si>
  <si>
    <t>Laws, RM; Baird, A; Bryden, MM</t>
  </si>
  <si>
    <t>Age estimation in crabeater seals (Lobodon carcinophagus)</t>
  </si>
  <si>
    <t>age; crabeater seals; Lobodon carcinophagus</t>
  </si>
  <si>
    <t>The age of crabeater seals Lobodon carcinophagus was first estimated from the teeth by counting layers in the dentine in transverse sections of the canine teeth. Reliable estimation of age from canine teeth in animals older than c. 10 years is not possible because of root closure at a relatively early age. The present investigation compared various methods of estimating age by examination of tooth sections from a large sample of crabeater seals from Marguerite Bay, Antarctic Peninsula. The most reliable estimations were shown to be obtained by counting layers in the cementum of the third postcanine tooth. Ages of 1233 animals (58% female, 42% male) ranged from 0.5 to 39 years. It is suggested that time- and age-specific historical material is potentially relevant for contemporary growth and life-history studies as well as for trophic relations or concentrations of pollutants in animal tissues.</t>
  </si>
  <si>
    <t>Univ Sydney, Australian Marine Mammal Res Ctr, Fac Vet Sci, Sydney, NSW 2006, Australia</t>
  </si>
  <si>
    <t>University of Sydney</t>
  </si>
  <si>
    <t>Bryden, MM (corresponding author), 55 Cent Ave, St Lucia, Qld 4067, Australia.</t>
  </si>
  <si>
    <t>1469-7998</t>
  </si>
  <si>
    <t>10.1017/S0952836902001310</t>
  </si>
  <si>
    <t>611MY</t>
  </si>
  <si>
    <t>WOS:000179022600005</t>
  </si>
  <si>
    <t>Hoyer, K; Karsten, U; Wiencke, C</t>
  </si>
  <si>
    <t>Induction of sunscreen compounds in Antarctic macroalgae by different radiation conditions</t>
  </si>
  <si>
    <t>AMINO-ACID COMPOUNDS; ULTRAVIOLET-RADIATION; TEMPERATURE REQUIREMENTS; MARINE ORGANISMS; BLUE-LIGHT; GROWTH; RED; PHOTOSYNTHESIS; ISLAND; PHYTOPLANKTON</t>
  </si>
  <si>
    <t>The formation of UV-absorbing mycosporine-like amino acids (MAAs) as a photoprotective strategy against biologically harmful ultraviolet radiation was studied in Antarctic red macroalgae. After exposure to three different radiation treatments (PAR: 400-700 nm, PAR + UVA: 320-700 nm, PAR + UVA + UVB: 295-700 nm), using artificial irradiance sources under controlled conditions, the physiological capability to stimulate MAA synthesis was investigated. While 8 out of 18 species showed an induction of MAA formation and accumulation, the remaining ten, mainly deep water species, did not exhibit any traces of MAAs. The MAA-containing samples were divided into three physiological response types based on their MAA accumulation versus different radiation treatments. The first response type included Kallymenia antarctica, Gymnogongrus antarcticus, Palmaria decipiens and Porphyra plocamiestris, and exhibited additionally increasing MAA concentrations under the different radiation treatments, i.e. highest total MAA values were measured under the full radiation spectrum. The second response type included Porphyra endiviifolium and Gymnogongrus turquetii, showing highest MAA concentrations already under PAR + UVA. In contrast, Neuroglossum ligulatum and Plocamium cartilagineum exhibited a strong MAA decrease under PAR + UVR and were grouped in the third response type. No consistent MAA induction patterns could be found, even for individual MAAs, indicating that induction, formation and accumulation of individual MAAs is a very flexible and species-specific mechanism.</t>
  </si>
  <si>
    <t>Fdn Alfred Wegener Inst, D-27570 Bremerhaven, Germany; Univ Rostock, Inst Aquat Ecol, D-18057 Rostock, Germany</t>
  </si>
  <si>
    <t>Helmholtz Association; Alfred Wegener Institute, Helmholtz Centre for Polar &amp; Marine Research; University of Rostock</t>
  </si>
  <si>
    <t>Hoyer, K (corresponding author), Fdn Alfred Wegener Inst, Handelshafen 12, D-27570 Bremerhaven, Germany.</t>
  </si>
  <si>
    <t>khoyer@awi-bremerhaven.de</t>
  </si>
  <si>
    <t>10.1007/s00227-002-0871-0</t>
  </si>
  <si>
    <t>615RR</t>
  </si>
  <si>
    <t>WOS:000179260900002</t>
  </si>
  <si>
    <t>McGrath, BL; Jackson, GD</t>
  </si>
  <si>
    <t>Egg production in the arrow squid Nototodarus gouldi (Cephalopoda: Ommastrephidae), fast and furious or slow and steady?</t>
  </si>
  <si>
    <t>SHORT-FINNED SQUID; FLEXIBLE REPRODUCTIVE STRATEGIES; LOLIGO-VULGARIS-REYNAUDII; ILLEX-COINDETII; PHOTOLOLIGO SP; GROWTH; MATURATION; TEUTHOIDEA; DYNAMICS</t>
  </si>
  <si>
    <t>The process of reproductive maturation and egg release was examined in the temperate shelf squid Nototodarus gouldi. The energy allocation between somatic and reproductive growth from juvenile to mature adult was investigated throughout the life span to determine the underlying energetic strategy adopted by individuals. The relative weight of the mantle, fin and digestive gland remained unchanged during ovarian development, with no significant correlations found between the mantle length (ML)-gonad residuals and the ML-mantle (r=0.01, P&gt;0.05), ML-fin (r=0.07, P&gt;0.05) and ML-digestive gland (r=0.07, P&gt;0.05) residuals. This suggested that energy was not being diverted away from somatic growth during sexual development, and consequently neither muscle nor digestive gland was being utilised as an energy store. Since squid in all maturity stages contained some food in their stomachs (e.g. 66.7% of mature animals), it is likely that the cost of maturation in this species is largely being met by food intake. The energy investment in reproductive tissues was relatively low (mean gonado-somatic index for mature individuals was 9.29% +/- 0.40%), indicating that only small amounts of energy were being allocated to reproduction at anyone point in time, which is characteristic of a multiple-spawning strategy. Furthermore, oviduct weight was not correlated with body size (r=0.256, P&gt;0.05), suggesting that eggs are not stored for a single release. In all except one individual, ovary weight was consistently heavier than oviduct weight, suggesting that the ovary is not being depleted of oocytes as mature ova move into the oviducts. Additionally, the ovaries of mature females contained a range of oocyte sizes with discrete peaks, indicating a continued production and development of oocyte cohorts. The presence of some individuals with stretched empty oviducts is further evidence that the reproductive strategy of N. gouldi is slow and steady, with eggs possibly being released in discrete batches over a period of time.</t>
  </si>
  <si>
    <t>McGrath, BL (corresponding author), Univ Tasmania, Inst Antarctic &amp; So Ocean Studies, GPO Box 252-77, Hobart, Tas 7001, Australia.</t>
  </si>
  <si>
    <t>bmgrath@utas.edu.au</t>
  </si>
  <si>
    <t>Jackson, George D/AAI-7315-2021</t>
  </si>
  <si>
    <t>10.1007/s00227-002-0864-z</t>
  </si>
  <si>
    <t>WOS:000179260900010</t>
  </si>
  <si>
    <t>Cockell, CS; Lee, P; Osinski, G; Horneck, G; Broady, P</t>
  </si>
  <si>
    <t>Impact-induced microbial endolithic habitats</t>
  </si>
  <si>
    <t>ANTARCTIC COLD DESERT; DEVON ISLAND; HAUGHTON FORMATION; POLAR DESERT; DRY VALLEYS; ROSS DESERT; SCYTONEMIN; CANADA; MICROORGANISMS; ENVIRONMENT</t>
  </si>
  <si>
    <t>Asteroid and comet impacts on Earth are commonly viewed as agents of ecosystem destruction, be it on local or global scales. However, for some microbial communities, impacts may represent an opportunity for habitat formation as some substrates are rendered more suitable for colonization when processed by impacts. We describe how heavily shocked gneissic crystalline basement rocks exposed at the Haughton impact structure, Devon Island, Nunavut, Arctic Canada, are hosts to endolithic photosynthetic microorganisms in significantly greater abundance than lesser-shocked or unshocked gneisses. Two factors contribute to this enhancement: (a) increased porosity due to impact fracturing and differential mineral vaporization, and (b) increased translucence due to the selective vaporization of opaque mineral phases. Using biological ultraviolet radiation dosimetry, and by measuring the concentrations of photoprotective compounds, we demonstrate that a covering of 0.8 mm of shocked gneiss can provide substantial protection from ultraviolet radiation, reducing the inactivation of Bacillus subtilis spores by 2 orders of magnitude. The colonisation of the shocked habitat represents a potential mechanism for pioneer microorganisms to invade an impact structure in the earliest stages of post-impact primary succession. The communities are analogous to the endolithic communities associated with sedimentary rocks in Antarctica, but because they occur in shocked crystalline rocks, they illustrate a mechanism for the creation of microbial habitats on planetary surfaces that do not have exposed sedimentary units. This might have been the case on early Earth. The data have implications for the microhabitats in which biological signatures might be sought on Mars.</t>
  </si>
  <si>
    <t>British Antarctic Survey, Cambridge CB3 0ET, England; NASA, Ames Res Ctr, Moffett Field, CA 94035 USA; Univ New Brunswick, Dept Geol, Planetary &amp; Space Sci Ctr, Fredericton, NB E3B 5A3, Canada; German Aerosp Ctr DLR, Inst Aerosp Med, D-51170 Cologne, Germany; Univ Canterbury, Christchurch 1, New Zealand</t>
  </si>
  <si>
    <t>UK Research &amp; Innovation (UKRI); Natural Environment Research Council (NERC); NERC British Antarctic Survey; National Aeronautics &amp; Space Administration (NASA); NASA Ames Research Center; University of New Brunswick; Helmholtz Association; German Aerospace Centre (DLR); University of Canterbury</t>
  </si>
  <si>
    <t>10.1111/j.1945-5100.2002.tb01029.x</t>
  </si>
  <si>
    <t>608YY</t>
  </si>
  <si>
    <t>WOS:000178877100001</t>
  </si>
  <si>
    <t>Morán, XAG; Estrada, M; Gasol, JM; Pedrós-Alió, C</t>
  </si>
  <si>
    <t>Dissolved primary production and the strength of phytoplankton bacterioplankton coupling in contrasting marine regions</t>
  </si>
  <si>
    <t>MICROBIAL ECOLOGY</t>
  </si>
  <si>
    <t>ORGANIC-CARBON; RELEASE; MATTER; SEA; BACTERIA; BIOMASS; BLOOM; OCEAN; EXCRETION; ATLANTIC</t>
  </si>
  <si>
    <t>We analyzed the strength of phytoplankton-bacterioplankton coupling by comparing the rate of particulate (PPP) and dissolved primary production (DPP) with bacterial carbon demand (BCD) in four contrasting marine regions: offshore and coastal waters of the Southern Ocean, a coastal area of the NE Atlantic, and a coastal-offshore transect in the NW Mediterranean. We measured bacterial heterotrophic production (BHP) and estimated BCD from a literature model. Average phytoplanktonic percent extracellular release [PER = DPP/(DPP + PPP)] was 18-20% in the Antarctic (offshore and coastal, respectively), 16% in the NW Mediterranean, and 7% in the NE Atlantic. A significant inverse relationship was found between PER and total system productivity with pooled data. On average BHP amounted to &lt;5% of total primary production in all regions. However, the strength of phytoplankton-bacterioplankton coupling, estimated as the potential importance of DPP in meeting BCD, differed greatly in the four regions. DPP was highly correlated to BCD in offshore Antarctic waters and was sufficient to meet BCD. in contrast, BCD exceeded DPP and bore no significant relationship in the remaining regions. The data suggest that a strong dependence of bacteria on algal extracellular production is only expected in open-ocean environments isolated from coastal inputs of DOC.</t>
  </si>
  <si>
    <t>Inst Espanol Oceanog, Ctr Oceanog Xixon, E-33212 Xixon, Asturies, Spain; CSIC, Inst Ciencias Mar, Dept Biol Marina &amp; Oceanog, E-08039 Barcelona, Catalunya, Spain</t>
  </si>
  <si>
    <t>Spanish Institute of Oceanography; Consejo Superior de Investigaciones Cientificas (CSIC); CSIC - Centro Mediterraneo de Investigaciones Marinas y Ambientales (CMIMA); CSIC - Instituto de Ciencias del Mar (ICM)</t>
  </si>
  <si>
    <t>Morán, XAG (corresponding author), Inst Espanol Oceanog, Ctr Oceanog Xixon, Avda Principe Asturies,70 Bis, E-33212 Xixon, Asturies, Spain.</t>
  </si>
  <si>
    <t>Estrada, Marta/L-6207-2014; Gasol, Josep M/B-1709-2008; Pedros-Alio, Carlos/H-1222-2011; Moran, Xose Anxelu G./K-9647-2014</t>
  </si>
  <si>
    <t>Estrada, Marta/0000-0001-5769-9498; Gasol, Josep M/0000-0001-5238-2387; Pedros-Alio, Carlos/0000-0003-1009-4277; Moran, Xose Anxelu G./0000-0002-9823-5339</t>
  </si>
  <si>
    <t>0095-3628</t>
  </si>
  <si>
    <t>MICROBIAL ECOL</t>
  </si>
  <si>
    <t>Microb. Ecol.</t>
  </si>
  <si>
    <t>10.1007/s00248-002-1026-z</t>
  </si>
  <si>
    <t>612CL</t>
  </si>
  <si>
    <t>WOS:000179056700003</t>
  </si>
  <si>
    <t>Misic, C; Povero, P; Fabiano, M</t>
  </si>
  <si>
    <t>Ectoenzymatic ratios in relation to particulate organic matter distribution (Ross Sea, Antarctica)</t>
  </si>
  <si>
    <t>EXTRACELLULAR ENZYME-ACTIVITY; BETA-N-ACETYLGLUCOSAMINIDASE; BACTERIAL DISTRIBUTION; MARINE WATERS; SEDIMENTS; NUTRIENT; OCEAN; DEGRADATION; GLUCOSIDASE; DIVERSITY</t>
  </si>
  <si>
    <t>The results of a study on ectoenzymatic activity (the enzyme activity bound to particles larger than 0.2 mum) and its relation to organic particle concentration are reported here. The sampling was carried out during the 1994 Antarctic spring, at a fixed station (Station 11) in the polynya of the Ross Sea, an area characterized by quick changes in sea ice cover. The sampling was repeated 4 times over a 20-day time period. The particulate organic matter distribution followed the physical structure of the water column, which depends on ice dynamics and is mainly determined by salinity. in the mixed-water surface layer (0-50 m) the concentrations were higher (on average 65.6 mugC/L) than in the deeper water layer (50 m-bottom) (on average 19.1 mugC/L. This distribution and quality, expressed by the protein:carbohydrate ratio, linked the particulate organic matter to the phytoplanktonic bloom which was in progress in the area. We determined the kinetic parameters of the glycolytic and proteolytic ectoenzymes and also the total activity for the proteolytic enzyme, in order to evaluate the contribution of the particle-bound activity. We observed higher values in the surface layer than in the deeper layer. P-Glucosidase activity ranged between 0.03 and 0.92 nmol L(-1)h(-1); beta-N-acetylglucosaminidase activity was in the range of 0.04-0.58 nmol L(-1)h(-1). The total proteolytic activity (leucine aminopeptidase) ranged between 0.85 and 33.71 nmol L(-1)h(-1). The ectoproteolytic activity was about 35-60% of the total. The K-m values were slightly higher for the proteolytic activity (on average 0.43 muM for ectoproteolytic activity and 0.58 muM for total proteolytic activity) than for the beta-glucosidase (on average 0.36 muM) and beta-N-acetylglucosaminidase (on average 0.17 muM), showing no remarkable variations in the water column. The ectoenzymatic ratios and their relationship with particulate organic substrates confirm the close link between organic substrate availability and degradation system response. The significant and positive correlations are not specific and suggest a prompt and efficient systemic response to the input of trophic resources. Nevertheless, changes in ectoenzyme activity and synthesis may act as adaptive responses to changing features of the ecosystem. In particular, variations in the proteolysis:glycolysis ratio depend on the functional features of the ecological system. In our study area this ratio is higher (about 10 or more) during production (Particularly autotrophic) and lower (about 5 or less) during degradation/consumption events. The analysis of previous data, collected over a larger area characterized by different environmental conditions due to the changes of the pack ice cover, during the same cruise, confirms the existence of a significant relationship. Furthermore, the analysis of enzyme-uptake systems, expressed as V-max:K-m ratio, suggests that glycolytic ectoenzymes, although poorly expressed, may encourage microconsumers to grow rapidly on a wide range of organic substrates, including the refractory ones such as cellulose and chitin. However, low ectoenzyme potential exploitation rates of available organic substrates (on average about 5% for glycolytic and 12% for proteolytic ectoenzymes) would suggest that, during spring, zooplankton grazing or vertical and lateral transport are likely to play an important role in the removal of organic materials from the system.</t>
  </si>
  <si>
    <t>Univ Genoa, Dipartimento Studio Terr &amp; Risorse, I-16132 Genoa, Italy</t>
  </si>
  <si>
    <t>Misic, C (corresponding author), Univ Genoa, Dipartimento Studio Terr &amp; Risorse, C-So Europa 26, I-16132 Genoa, Italy.</t>
  </si>
  <si>
    <t>MISIC, CRISTINA/0000-0002-2577-1800</t>
  </si>
  <si>
    <t>10.1007/s00248-002-2017-9</t>
  </si>
  <si>
    <t>WOS:000179056700004</t>
  </si>
  <si>
    <t>Corsolini, S; Romeo, T; Ademolla, N; Greco, S; Focardi, S</t>
  </si>
  <si>
    <t>POPs in key species of marine Antarctic ecosystem</t>
  </si>
  <si>
    <t>MICROCHEMICAL JOURNAL</t>
  </si>
  <si>
    <t>10th Hungarian/Italian Conference on Spectrochemistry as Applied to Health and the Environment</t>
  </si>
  <si>
    <t>OCT 01-05, 2001</t>
  </si>
  <si>
    <t>EGER, HUNGARY</t>
  </si>
  <si>
    <t>POPs; Antarctica; food web contamination; krill; Pleuragramma antarcticum</t>
  </si>
  <si>
    <t>POLYCHLORINATED-BIPHENYLS; POLYCHLOROBIPHENYLS; ORGANOCHLORINES; GREENLAND; SEALS</t>
  </si>
  <si>
    <t>Remote areas including the Polar regions were considered to be pristine until contamination was first documented in the 1970's. Given the fact that the xenobiotics detected in polar ecosystems are persistent and toxic, investigating the presence of these chemicals in a pristine environment such as Antarctica has become a priority. In specimens of the most important key species of Antarctic marine food web, Euphausia superba and Pleuragramma antarcticum sampled in the Ross Sea, we evaluated concentrations of the following persistent organic pollutants: polychlorinated biphenyls (PCBs), chlorinated pesticides such as hexachlorobenzene (HCB), and p,p'-DDE. Sampling was carried out in the framework of the Italian National Program for Research in Antarctica (PNRA) from 1999 to 2000. PCB concentrations were higher than HCB and p,p'-DDE by two orders of magnitude; levels of HCB and p,p'-DDE, in the range of 1-5 ng/g wet weight, were low compared to those reported for species in lower latitude marine environments. PCBs values were comparable to those determined in moderately contaminated areas. PCB fingerprints and patterns of isomer classes showed a predominance of low-chlorinated PCBs: tri-, tetra- and penta-CB congeners constituted more than 50% of the total residue in krill and larvae and less than 50% in adult silverfish. The pattern seems common to that of Kanechlor, a technical mixture used mostly in Japan and other Eastern Asian countries that are roughly at the same longitude of the Ross Sea. (C) 2002 Elsevier Science B.V. All rights reserved.</t>
  </si>
  <si>
    <t>Univ Siena, Dipartimento Sci Ambientali, I-53100 Siena, Italy; ICRAM, I-00166 Rome, Italy</t>
  </si>
  <si>
    <t>Corsolini, S (corresponding author), Univ Siena, Dipartimento Sci Ambientali, Via Cerchia 3, I-53100 Siena, Italy.</t>
  </si>
  <si>
    <t>ademollo, nicoletta/AAY-4811-2020; Romeo, Teresa/AAA-1711-2020; Corsolini, Simonetta/B-9460-2012</t>
  </si>
  <si>
    <t>Corsolini, Simonetta/0000-0002-9772-2362; Romeo, Teresa/0000-0001-8515-1964; Ademollo, nicoletta/0000-0002-1875-6530</t>
  </si>
  <si>
    <t>0026-265X</t>
  </si>
  <si>
    <t>MICROCHEM J</t>
  </si>
  <si>
    <t>Microchem J.</t>
  </si>
  <si>
    <t>PII S0026-265X(02)00063-2</t>
  </si>
  <si>
    <t>10.1016/S0026-265X(02)00063-2</t>
  </si>
  <si>
    <t>605PF</t>
  </si>
  <si>
    <t>WOS:000178685700021</t>
  </si>
  <si>
    <t>Dalpé, Y; Plenchette, C; Frenot, Y; Gloaguen, JC; Strullu, DG</t>
  </si>
  <si>
    <t>Glomus kerguelense sp nov., a new Glomales species from sub-Antartic</t>
  </si>
  <si>
    <t>MYCOTAXON</t>
  </si>
  <si>
    <t>Arbuscular mycorrhizal fungus; glomales</t>
  </si>
  <si>
    <t>MYCORRHIZAL; ENDOGONACEAE; PLANTS; ISLAND</t>
  </si>
  <si>
    <t>Glomus kerguelense sp. nov. was isolated from a gravelly mineral soil at Kerguelen Islands, in association with the rhizosphere. of introduced Agrostis stolonifera, Poaceae. This golden yellow spored species is distinguished from other Glomeraceae species by the granular ornamentation of the interior surface of the inner spore wall layer, and by a spongy zone gradually developed within the middle spore wall layer. The isolate differentiated vesicles and arbuscles inside Allium porrum roots and sporulated profusely in pot cultures. Glomus kerguelense is, with G. antarcticum, the second Glomales species described originally from the Antarctic region.</t>
  </si>
  <si>
    <t>Agr &amp; Agri Food Canada, Eastern Cereal &amp; Oilseed Res Ctr, Stn Agron, Ottawa, ON K1A 0C6, Canada; INRA, F-21034 Dijon, France; Univ Rennes, Biol Stn, UMR CNRS 6553, ECOBJO, F-35380 Plelan Le Grand, France; Unive Rennes, UMR CNRS 6553, ECOBIO, F-35042 Rennes, France; Univ Angers, Lab Biol &amp; Physiol Vegetales, F-49045 Angers, France</t>
  </si>
  <si>
    <t>Agriculture &amp; Agri Food Canada; INRAE; Universite de Rennes; Centre National de la Recherche Scientifique (CNRS); Universite d'Angers</t>
  </si>
  <si>
    <t>dalpey@em.agr.ca</t>
  </si>
  <si>
    <t>MYCOTAXON LTD</t>
  </si>
  <si>
    <t>ITHACA</t>
  </si>
  <si>
    <t>PO BOX 264, ITHACA, NY 14851-0264 USA</t>
  </si>
  <si>
    <t>0093-4666</t>
  </si>
  <si>
    <t>Mycotaxon</t>
  </si>
  <si>
    <t>OCT-DEC</t>
  </si>
  <si>
    <t>632VC</t>
  </si>
  <si>
    <t>WOS:000180243300006</t>
  </si>
  <si>
    <t>Boggs, SE; Jean, P; Slassi-Sennou, S; Coburn, W; Lin, RP; Madden, NW; McBride, S; Pelling, RM; Primbsch, JH; von Ballmoos, P</t>
  </si>
  <si>
    <t>Balloon flight test of pulse shape discrimination (PSD) electronics and background model performance on the HIREGS payload</t>
  </si>
  <si>
    <t>NUCLEAR INSTRUMENTS &amp; METHODS IN PHYSICS RESEARCH SECTION A-ACCELERATORS SPECTROMETERS DETECTORS AND ASSOCIATED EQUIPMENT</t>
  </si>
  <si>
    <t>germanium; detectors; gamma ray</t>
  </si>
  <si>
    <t>GERMANIUM COAXIAL DETECTORS; GAMMA-RAY SPECTROMETERS; LABORATORY TESTS; RADIATION-DAMAGE; REDUCTION; SIMULATIONS</t>
  </si>
  <si>
    <t>We flew a prototype of the INTEGRAL/SPI PSD electronics with a narrow-bore coaxial Ge gamma-ray detector on the January 1998 Antarctic balloon flight of the HIREGS payload. The first goal for this test flight was to demonstrate the performance of the PSD electronics in a radiation background and space environment similar to that in which SPI will operate, which was successfully demonstrated. The second goal was to measure the fraction of the background due to localized beta(-)-decays, and to validate the model used to predict SPI's background and the sensitivity improvement due to the PSD background rejection. Our background measurements show good agreement with the models developed for SPI, and strongly support the expected improvement in sensitivity due to PSD on SPI. (C) 2002 Elsevier Science B.V. All rights reserved.</t>
  </si>
  <si>
    <t>Univ Calif Berkeley, Space Sci Lab, Berkeley, CA 94720 USA; Univ Calif Berkeley, Dept Phys, Berkeley, CA 94720 USA; UPS, CNRS, Ctr Etud Spatiale Rayonnements, Toulouse, France; Univ Calif Berkeley, Lawrence Berkeley Lab, Berkeley, CA 94720 USA; Univ Calif San Diego, Ctr Astrophys &amp; Space Sci, La Jolla, CA 92093 USA</t>
  </si>
  <si>
    <t>University of California System; University of California Berkeley; University of California System; University of California Berkeley; Universite de Toulouse; Universite Toulouse III - Paul Sabatier; Centre National de la Recherche Scientifique (CNRS); University of California System; University of California Berkeley; United States Department of Energy (DOE); Lawrence Berkeley National Laboratory; University of California System; University of California San Diego</t>
  </si>
  <si>
    <t>Boggs, SE (corresponding author), Univ Calif Berkeley, Space Sci Lab, Berkeley, CA 94720 USA.</t>
  </si>
  <si>
    <t>Jean, Pierre-Olivier/L-8876-2016; Boggs, Steven E/E-4170-2015</t>
  </si>
  <si>
    <t>von Ballmoos, Peter/0000-0002-0917-3392</t>
  </si>
  <si>
    <t>0168-9002</t>
  </si>
  <si>
    <t>NUCL INSTRUM METH A</t>
  </si>
  <si>
    <t>Nucl. Instrum. Methods Phys. Res. Sect. A-Accel. Spectrom. Dect. Assoc. Equip.</t>
  </si>
  <si>
    <t>PII S0168-9002(02)01228-7</t>
  </si>
  <si>
    <t>10.1016/S0168-9002(02)01228-7</t>
  </si>
  <si>
    <t>Instruments &amp; Instrumentation; Nuclear Science &amp; Technology; Physics, Nuclear; Physics, Particles &amp; Fields</t>
  </si>
  <si>
    <t>Instruments &amp; Instrumentation; Nuclear Science &amp; Technology; Physics</t>
  </si>
  <si>
    <t>603FA</t>
  </si>
  <si>
    <t>WOS:000178547100004</t>
  </si>
  <si>
    <t>Falcon-Lang, HJ; Cantrill, DJ</t>
  </si>
  <si>
    <t>Terrestrial paleoecology of the Cretaceous (early Aptian) Cerro Negro Formation, South Shetlands Islands, Antarctica: A record of polar vegetation in a volcanic arc environment</t>
  </si>
  <si>
    <t>PALAIOS</t>
  </si>
  <si>
    <t>CENTRAL NORTH-ISLAND; NEW-ZEALAND; ALEXANDER ISLAND; LIVINGSTON ISLAND; BYERS PENINSULA; PALEOBOTANICAL EVIDENCE; ECOLOGY; FOREST; DYNAMICS; FLORA</t>
  </si>
  <si>
    <t>Nothing is known about the community-scale plant ecology of early Cretaceous volcanic environments in the southern high latitudes. The paleoecology of the early Aptian (119-120 Ma) volcaniclastic Cerro Negro Formation of South Shetland Islands, Antarctica, has been investigated to improve understanding of these enigmatic ecosystems. This unit was deposited in an intra-arc setting at the edge of the paleo-polar circle (66degreesS). Taphonomic analysis of megaflora in seven volcanic facies indicates the existence of a spatially complex vegetation mosaic co-dominated by conifers, bennettites, and ferns. A lower stratigraphic unit was deposited by high-magnitude, low-frequency silicic eruptions, partially reworked by fluvial processes. Following ash falls, shrubby communities of ferns and bennettites dominated for short periods in low-altitude paleovalleys before being replaced by araucarian-podocarp-fern conifer forests. Forests of podocarp conifers and bennettites covered adjacent mid-altitude slopes of active volcanic cones. These were destroyed periodically by hot pyroclastic flows, and their charred remains washed down into paleovalley fluvial systems. Analysis of architectural and phenological data from both major forest communities indicates the predominance of evergreen trees with a canopy height of c. 20-30 m. Growth-ring analysis indicates that, despite occasional catastrophic eruptions, growing conditions were mostly favorable and uniform, although in riparian paleovalley niches flooding locally produced more stressful growing conditions. An upper stratigraphic unit was deposited by low-magnitude, high-frequency basaltic eruptions. Shrubby, fern and bennettite-dominated vegetation, together with local conifer stands, colonized this environment. Growth of more widespread arborescent vegetation in the upper unit was inhibited by high-frequency volcanic disturbances. Bennettites are much more abundant and diverse in the Cerro Negro Formation compared with coeval, non-volcanic sites in the southern high latitudes, indicating that this group may have favored volcanic environments.</t>
  </si>
  <si>
    <t>Dalhousie Univ, Dept Earth Sci, Halifax, NS B3H 3J5, Canada; British Antarctic Survey, Cambridge CB3 0ET, England</t>
  </si>
  <si>
    <t>Dalhousie University; UK Research &amp; Innovation (UKRI); Natural Environment Research Council (NERC); NERC British Antarctic Survey</t>
  </si>
  <si>
    <t>Dalhousie Univ, Dept Earth Sci, Halifax, NS B3H 3J5, Canada.</t>
  </si>
  <si>
    <t>Falcon-Lang, Howard J/D-8465-2011; Cantrill, David/R-1415-2019</t>
  </si>
  <si>
    <t>Cantrill, David/0000-0002-1185-4015</t>
  </si>
  <si>
    <t>0883-1351</t>
  </si>
  <si>
    <t>1938-5323</t>
  </si>
  <si>
    <t>Palaios</t>
  </si>
  <si>
    <t>10.1669/0883-1351(2002)017&lt;0491:TPOTCE&gt;2.0.CO;2</t>
  </si>
  <si>
    <t>603PT</t>
  </si>
  <si>
    <t>WOS:000178569100006</t>
  </si>
  <si>
    <t>Robinson, RS; Meyers, PA</t>
  </si>
  <si>
    <t>Biogeochemical changes within the Benguela Current upwelling system during the Matuyama Diatom Maximum: Nitrogen isotope evidence from Ocean Drilling Program Sites 1082 and 1084</t>
  </si>
  <si>
    <t>Benguela Current; late Pliocene; diatoms; d15N; diatom-bound d15N</t>
  </si>
  <si>
    <t>ARABIAN SEA DENITRIFICATION; NORTH PACIFIC; NITRATE UTILIZATION; SURFACE SEDIMENTS; NATURAL ABUNDANCE; STABLE NITROGEN; ORGANIC-MATTER; RICH SEDIMENTS; SOUTHERN-OCEAN; BIOGENIC OPAL</t>
  </si>
  <si>
    <t>[1] The Matuyama Diatom Maximum (MDM) is a time of peak opal accumulation from 2.6 to similar to2.0 Ma within the Benguela Current upwelling system that was initiated by increased influence of Southern Ocean water on the eastern South Atlantic. We measured opal, total organic carbon (TOC), and CaCO3 fluxes and C and N stable isotopes in sediments deposited from 2.4 to 1.95 Ma at Sites 1082 and 1084 to explore the biogeochemical dynamics within the Benguela region. The infusion of Southern Ocean water delivered dissolved nutrients and Southern Ocean flora and fauna, resulting in local opal accumulation increasing up to 8 g/cm(2)ky and the production of diatom mats. Some delta(15)N measurements of diatom-bound organic matter indicate that the mats grew within the Benguela region. The bulk sediment delta(15)N records are taken to reflect changes in the delta(15)N of nitrate in the incoming water, where lower values at 2.4 Ma reflect less nitrate utilization in the Antarctic. A long-term increase in relative nitrate uptake in the Southern Ocean is evidenced by the gradual increase in delta(15)N toward 1.9 Ma.</t>
  </si>
  <si>
    <t>Univ Michigan, Dept Geol Sci, Marine Geol &amp; Geochem Program, Ann Arbor, MI 48109 USA</t>
  </si>
  <si>
    <t>University of Michigan System; University of Michigan</t>
  </si>
  <si>
    <t>Princeton Univ, Dept Geol Sci, Guyot Hall, Princeton, NJ 08540 USA.</t>
  </si>
  <si>
    <t>rebeccar@princeton.edu; pameyers@umich.edu</t>
  </si>
  <si>
    <t>Robinson, Rebecca/0000-0002-8072-1603; Meyers, Philip/0000-0002-9709-7528</t>
  </si>
  <si>
    <t>10.1029/2001PA000659</t>
  </si>
  <si>
    <t>639XX</t>
  </si>
  <si>
    <t>WOS:000180656400016</t>
  </si>
  <si>
    <t>Shemesh, A; Hodell, D; Crosta, X; Kanfoush, S; Charles, C; Guilderson, T</t>
  </si>
  <si>
    <t>Sequence of events during the last deglaciation in Southern Ocean sediments and Antarctic ice cores</t>
  </si>
  <si>
    <t>biogenic opal; stable isotopes; diatoms; IRD; last glacial; Southern Ocean</t>
  </si>
  <si>
    <t>GLACIAL-MAXIMUM; ATMOSPHERIC CO2; ISOTOPIC COMPOSITION; SEA-ICE; CLIMATE; CALIBRATION; TEMPERATURE; RECORDS; WATER; RECONSTRUCTION</t>
  </si>
  <si>
    <t>[1] The last glacial to interglacial transition was studied using down core records of stable isotopes in diatoms and foraminifera as well as surface water temperature, sea ice extent, and ice-rafted debris (IRD) concentrations from a piston core retrieved from the Atlantic sector of the Southern Ocean. Sea ice is the first variable to change during the last deglaciation, followed by nutrient proxies and sea surface temperature. This sequence of events is independent of the age model adopted for the core. The comparison of the marine records to Antarctic ice CO2 variation depends on the age model as C-14 determinations cannot be obtained for the time interval of 29.5-14.5 ka. Assuming a constant sedimentation rate for this interval, our data suggest that sea ice and nutrient changes at about 19 ka B. P. lead the increase in atmospheric pCO(2) by approximately 2000 years. Our diatom-based sea ice record is in phase with the sodium record of the Vostok ice core, which is related to sea ice cover and similarly leads the increase in atmospheric CO2. If gas exchange played a major role in determining glacial to interglacial CO2 variations, then a delay mechanism of a few thousand years is needed to explain the observed sequence of events. Otherwise, the main cause of atmospheric pCO(2) change must be sought elsewhere, rather than in the Southern Ocean.</t>
  </si>
  <si>
    <t>Weizmann Inst Sci, Dept Environm Sci &amp; Energy Res, IL-76100 Rehovot, Israel; Univ Florida, Dept Geol Sci, Gainesville, FL 32611 USA; Univ Calif San Diego, Scripps Inst Oceanog, La Jolla, CA 92093 USA; Lawrence Livermore Natl Lab, Livermore, CA 94550 USA</t>
  </si>
  <si>
    <t>Weizmann Institute of Science; State University System of Florida; University of Florida; University of California System; University of California San Diego; Scripps Institution of Oceanography; United States Department of Energy (DOE); Lawrence Livermore National Laboratory</t>
  </si>
  <si>
    <t>Weizmann Inst Sci, Dept Environm Sci &amp; Energy Res, IL-76100 Rehovot, Israel.</t>
  </si>
  <si>
    <t>aldo.shemesh@weizmann.ac.il</t>
  </si>
  <si>
    <t>Hodell, David/0000-0001-8537-1588; Guilderson, Thomas/0000-0001-9371-7059</t>
  </si>
  <si>
    <t>10.1029/2000PA000599</t>
  </si>
  <si>
    <t>WOS:000180656400008</t>
  </si>
  <si>
    <t>Lovelock, CE; Robinson, SA</t>
  </si>
  <si>
    <t>Surface reflectance properties of Antarctic moss and their relationship to plant species, pigment composition and photosynthetic function</t>
  </si>
  <si>
    <t>Bryum pseudotriquetrum; Ceratodon purpureus; Grimmia antarctici; chlorophyll; chlorophyll fluorescence; photochemical reflectance index; xanthophyll cycle pigments</t>
  </si>
  <si>
    <t>RED EDGE; SPECTRAL REFLECTANCE; CHLOROPHYLL FLUORESCENCE; CANOPY-LEVEL; LEAF; VEGETATION; PHOTOINHIBITION; LEAVES; INDEX; WATER</t>
  </si>
  <si>
    <t>In this study the variations in surface reflectance properties and pigment concentrations of Antarctic moss over species, sites, microtopography and with water content were investigated. It was found that species had significantly different surface reflectance properties, particularly in the region of the red edge (approximately 700 nm), but this did not correlate strongly with pigment concentrations. Surface reflectance of moss also varied in the visible region and in the characteristics of the red edge over different sites. Reflectance parameters, such as the photochemical reflectance index (PRI) and cold hard band were useful discriminators of site, microtopographic position and water content. The PRI was correlated both with the concentrations of active xanthophyll-cycle pigments and the photosynthetic light use efficiency, F-v/F-m, measured using chlorophyll fluorescence. Water content of moss strongly influenced the amplitude and position of the red-edge as well as the PRI, and may be responsible for observed differences in reflectance properties for different species and sites. All moss showed sustained high levels of photoprotective xanthophyll pigments, especially at exposed sites, indicating moss is experiencing continual high levels of photochemical stress.</t>
  </si>
  <si>
    <t>Smithsonian Environm Res Ctr, Edgewater, MD 21037 USA; Univ Wollongong, Inst Conservat Biol, Wollongong, NSW 2522, Australia</t>
  </si>
  <si>
    <t>Smithsonian Institution; Smithsonian Environmental Research Center; University of Wollongong</t>
  </si>
  <si>
    <t>Smithsonian Environm Res Ctr, POB 28, Edgewater, MD 21037 USA.</t>
  </si>
  <si>
    <t>lovelock@serc.si.edu</t>
  </si>
  <si>
    <t>Lovelock, Catherine E/G-7370-2012; Robinson, Sharon/B-2683-2008; Lovelock, Catherine E./AAF-7294-2020</t>
  </si>
  <si>
    <t>Robinson, Sharon/0000-0002-7130-9617; Lovelock, Catherine E./0000-0002-2219-6855</t>
  </si>
  <si>
    <t>1365-3040</t>
  </si>
  <si>
    <t>10.1046/j.1365-3040.2002.00916.x</t>
  </si>
  <si>
    <t>595YA</t>
  </si>
  <si>
    <t>WOS:000178134800004</t>
  </si>
  <si>
    <t>Irvine, LG</t>
  </si>
  <si>
    <t>Sex differences in Antarctic krill (Euphausia superba) retrieved from Adelie penguin stomachs:: implications for diet analysis</t>
  </si>
  <si>
    <t>SAMPLES; CAUGHT; DANA; NETS</t>
  </si>
  <si>
    <t>The morphological condition of Euphausia superba samples, retrieved from the stomachs of Adelie penguins, was examined to assess current methods of diet analysis. Male E. superba specimens were generally separated between the cephalothorax and abdomen while the majority of the females were intact. This finding has implications for current methods of analysis that use an intact carapace as a criterion for subsample selection. Such a criterion eliminates all individuals without a cephalothorax, which in this study were mostly male. Consequently, this subsampling method may lead to an underestimation of the male component of the sample.</t>
  </si>
  <si>
    <t>Irvine, LG (corresponding author), Australian Antarctic Div, Channel Highway, Kingston, Tas 7050, Australia.</t>
  </si>
  <si>
    <t>Irvine, Lyn/KHD-4206-2024</t>
  </si>
  <si>
    <t>10.1007/s00300-002-0397-4</t>
  </si>
  <si>
    <t>608JM</t>
  </si>
  <si>
    <t>WOS:000178842800001</t>
  </si>
  <si>
    <t>Henshaw, T; Laybourn-Parry, J</t>
  </si>
  <si>
    <t>The annual patterns of photosynthesis in two large, freshwater, ultra-oligotrophic Antarctic lakes</t>
  </si>
  <si>
    <t>DRY VALLEY LAKES; PHYTOPLANKTON DYNAMICS; PLANKTON; PRODUCTIVITY; TEMPERATURE; BONNEY; COLUMN; CYCLE</t>
  </si>
  <si>
    <t>The phytoplankton productivity and biomass of two large, freshwater Antarctic lakes (Vestfold Hills, eastern Antarctica) were investigated over a 12-month period. Crooked Lake was sampled at one site, while Lake Druzhby, a complex lake with two shallow and one deep basin, was subject to a more detailed investigation. Concentrations of chlorophyll a were usually below 1 mug l(-1), indicating ultra-oligotrophic conditions. Despite periodic low nutrient levels, low temperatures (range 0.4-2.8degreesC) and periodic poor light climate, some degree of photosynthesis was measurable throughout the year, including the dark winter phase. Snow cover had a pronounced impact on the light climate of the water column and inhibited photosynthesis. Mean rates of carbon fixation in the 0- to 15-m water column varied between 0 and 38.47 mug C l(-1) day(-1) in Crooked Lake and 0.24 and 37.68 mug C l(-1) day(-1) in Lake Druzhby. There were significant differences in the seasonal patterns of primary production between the basins of Lake Druzhby. The shallow basins had highest productivity in August, whereas the deep basin had highest rates in summer. Chlorophyll specific rates of photosynthesis or assimilation numbers [mug C (chl.a)(-1) h(-1)] varied between 0.05 and 44.9, and photosynthetic efficiency [mug C (chl. a)(-1) h(-1) mumol m(-2) s(-1)] between 0.02 and 5.19. The data suggest that the phytoplankton of these lakes is adapted to low irradiance levels, low temperatures and nutrient limitation.</t>
  </si>
  <si>
    <t>Univ Nottingham, Sch Life &amp; Environm Sci, Nottingham NG7 2RD, England; British Antarctic Survey, Cambridge CB3 0ET, England</t>
  </si>
  <si>
    <t>University of Nottingham; UK Research &amp; Innovation (UKRI); Natural Environment Research Council (NERC); NERC British Antarctic Survey</t>
  </si>
  <si>
    <t>j.lavbourn-parry@nottingham.ac.uk</t>
  </si>
  <si>
    <t>10.1007/s00300-002-0402-y</t>
  </si>
  <si>
    <t>WOS:000178842800005</t>
  </si>
  <si>
    <t>Eastman, JT; Sidell, BD</t>
  </si>
  <si>
    <t>Measurements of buoyancy for some Antarctic notothenioid fishes from the South Shetland Islands</t>
  </si>
  <si>
    <t>CHAMPSOCEPHALUS-GUNNARI; EUPHAUSIA-SUPERBA; MACKEREL ICEFISH; BIOLOGY; KRILL; SEA; PERCIFORMES; EVOLUTION; ECOLOGY; GEORGIA</t>
  </si>
  <si>
    <t>Buoyancy was measured for 258 specimens representing 13 species of adult and sub-adult nototheniids, bathydraconids, and channichthyids from the South Shetland Islands. Measurements were expressed as percentage buoyancy (%B) = W-water/W(air)x10(2). There were no neutrally buoyant species and mean values for %B were 3.07-6.11%, with channichthyids at the low end and benthic nototheniids and bathydraconids at the high end. All species showed an ontogenetic decrease in %B with increasing body weight. With the exception of Champsocephalus gunnari, there was no sexual dimorphism in %B within this sample. With some exceptions, values for %B were consistent with life-history information. Sub-adult Dissostichus mawsoni were not neutrally buoyant, as are large adults. Notothenia rossii had a significantly lower %B than closely related N. coriiceps. Benthic Gobionotothen gibber frons had a lower %B than semipelagic Lepidonotothen larseni. Although they exhibit some diversification in life history, the four channichthyids in the sample were similar in %B. Neutral buoyancy is rare in notothenioids and may be confined to a single nototheniid clade.</t>
  </si>
  <si>
    <t>Ohio Univ, Dept Biomed Sci, Athens, OH 45701 USA; Univ Maine, Sch Marine Sci, Orono, ME 04469 USA</t>
  </si>
  <si>
    <t>University System of Ohio; Ohio University; University of Maine System; University of Maine Orono</t>
  </si>
  <si>
    <t>Eastman, JT (corresponding author), Ohio Univ, Dept Biomed Sci, Athens, OH 45701 USA.</t>
  </si>
  <si>
    <t>eastman@ohiou.edu</t>
  </si>
  <si>
    <t>Eastman, Joseph T/A-9786-2008; Eastman, Joseph T./O-6150-2019</t>
  </si>
  <si>
    <t>Eastman, Joseph T./0000-0003-3868-261X</t>
  </si>
  <si>
    <t>10.1007/s00300-002-0398-3</t>
  </si>
  <si>
    <t>WOS:000178842800006</t>
  </si>
  <si>
    <t>Pakhomov, EA; Kaehler, S; McQuaid, CD</t>
  </si>
  <si>
    <t>Zooplankton community structure in the kelp beds of the sub-Antarctic Prince Edward Archipelago: are they a refuge for larval stages?</t>
  </si>
  <si>
    <t>SHRIMP NAUTICARIS-MARIONIS; ISLANDS; MARINE; RECRUITMENT; ECOLOGY; OCEAN; SOUTH; ENVIRONMENTS; VARIABILITY; FISH</t>
  </si>
  <si>
    <t>Kelp beds are thought to provide a refuge for a variety of marine organisms by damping waves, changing hydrodynamic flow, offering substrata for epiphytic species, and altering the abundances of predators and prey. At the sub-Antarctic Prince Edward Islands, a typical flow-through system, kelp beds have the potential of acting as a prime habitat for a variety of pelagic species that would otherwise be swept away and lost from the island ecosystem. The current study investigates the effects of kelp beds on the abundance and composition of zooplankton and microphytoplankton, with the main aim of determining whether kelp beds act as a repository for larval stages in general, and for the swimming prawn, Nauticaris marionis, in particular. Salinity gradients created by freshwater run-off indicated that kelp beds at Marion Island retain surface water and restrict water exchange with the open ocean. Both the abundance and diversity of zooplankton were greatest within the kelp beds. This was partially due to the high abundance of kelp-associated species, but also to the apparent retention of naupliar larvae within the kelp canopy. Unlike the larvae of ostracods and copepods, caridean zoeae were rare, indicating that kelp beds are not a prime habitat for larvae of N. marionis. The larval retention mechanism for this species, therefore, remains unknown. Apart from retaining water and certain species of zooplankton, chlorophyll a/phaeopigment ratios confirmed the existence of a substantial detrital pool within the kelp beds. This retention of detritus may explain the observed importance of kelp-derived matter in the diet of many nearshore animals. In contrast to the zooplankton, kelp beds seemed to have little effect on the abundance and composition of microphytoplankton, and chlorophyll a values were low at all stations.</t>
  </si>
  <si>
    <t>Univ Ft Hare, Dept Zool, ZA-5700 Alice, South Africa; Rhodes Univ, Dept Zool &amp; Entomol, So Ocean Grp, ZA-6140 Grahamstown, South Africa; Rhodes Univ, Dept Zool &amp; Entomol, Coastal Res Grp, ZA-6140 Grahamstown, South Africa</t>
  </si>
  <si>
    <t>University of Fort Hare; Rhodes University; Rhodes University</t>
  </si>
  <si>
    <t>Pakhomov, EA (corresponding author), Univ Ft Hare, Dept Zool, Private Bag X1314, ZA-5700 Alice, South Africa.</t>
  </si>
  <si>
    <t>epakhomov@ufh.ac.za</t>
  </si>
  <si>
    <t>McQuaid, Christopher/AAT-3725-2020</t>
  </si>
  <si>
    <t>McQuaid, Christopher/0000-0002-3473-8308</t>
  </si>
  <si>
    <t>10.1007/s00300-002-0411-x</t>
  </si>
  <si>
    <t>WOS:000178842800009</t>
  </si>
  <si>
    <t>Carton, AG; Montgomery, JC</t>
  </si>
  <si>
    <t>Responses of lateral line receptors to water flow in the Antarctic notothenioid, Trematomus bernacchii</t>
  </si>
  <si>
    <t>MOTTLED SCULPIN; COTTUS-BAIRDI; LAKE-MICHIGAN; FISH; NEUROMASTS; SYSTEM</t>
  </si>
  <si>
    <t>The response properties of anterior lateral line afferent neurones in Trematomus bernacchii were recorded extracellularly while stimulating the fish with unidirectional water flows of varying velocity. Afferent neurone responses were either flow-sensitive or flow-insensitive. Flow-sensitive neurotics showed linear increases in response magnitude with increasing flow rate and tonic non-adapting response properties. These findings indicate that flow-sensitive afferent neurones originate from lateral line receptors that detect absolute flow velocity. The likely explanation is that flow-sensitive afferent neurones innervate neuromasts located superficially on the skin and flow-insensitive neurones innervate neuromasts situated in sub-epidermal fluid-filled canals.</t>
  </si>
  <si>
    <t>Univ Auckland, Leigh Marine Lab, Auckland 1, New Zealand; Univ Auckland, Sch Biol Sci, Expt &amp; Marine Biol Res Grp, Auckland 1, New Zealand</t>
  </si>
  <si>
    <t>University of Auckland; University of Auckland</t>
  </si>
  <si>
    <t>Carton, AG (corresponding author), Univ Auckland, Leigh Marine Lab, Auckland 1, New Zealand.</t>
  </si>
  <si>
    <t>Carton, Alexander/E-9198-2012; Montgomery, John/D-4310-2009</t>
  </si>
  <si>
    <t>Montgomery, John/0000-0002-7451-3541</t>
  </si>
  <si>
    <t>10.1007/s00300-002-0416-5</t>
  </si>
  <si>
    <t>WOS:000178842800010</t>
  </si>
  <si>
    <t>Mataloni, G; Tell, G</t>
  </si>
  <si>
    <t>Microalgal communities from ornithogenic soils at Cierva Point, Antarctic Peninsula (vol 25, pg 488, 2002)</t>
  </si>
  <si>
    <t>Univ Buenos Aires, CONICET, Fac Cs Exactas &amp; Nat, RA-1053 Buenos Aires, DF, Argentina</t>
  </si>
  <si>
    <t>University of Buenos Aires; Consejo Nacional de Investigaciones Cientificas y Tecnicas (CONICET)</t>
  </si>
  <si>
    <t>Mataloni, G (corresponding author), Univ Buenos Aires, CONICET, Fac Cs Exactas &amp; Nat, RA-1053 Buenos Aires, DF, Argentina.</t>
  </si>
  <si>
    <t>Mataloni, Gabriela/0000-0002-6852-6143</t>
  </si>
  <si>
    <t>10.1007/s00300-002-0426-3</t>
  </si>
  <si>
    <t>WOS:000178842800012</t>
  </si>
  <si>
    <t>Sjödahl, J; Emmer, Å; Vincent, J; Roeraade, J</t>
  </si>
  <si>
    <t>Characterization of proteinases from Antarctic krill (Euphausia superba)</t>
  </si>
  <si>
    <t>PROTEIN EXPRESSION AND PURIFICATION</t>
  </si>
  <si>
    <t>SERINE PROTEINASES; ENZYME PREPARATION; PURIFICATION; DEBRIDEMENT; PROTEASE; ULCERS</t>
  </si>
  <si>
    <t>Fractions of three trypsin-like proteinases, TL I, TL II, and TL III, a chymotrypsin-like proteinase, CL, two carboxypeptidase A enzymes, CPA I and CPA II and two carboxypeptidase B enzymes. CPB I and CPB II, from Antarctic krill (Euphausia superba) have been characterized with respect to purity by the means of capillary electrophoresis, CE, and matrix-assisted laser desorption/ionization time-of-flight mass spectrometry (MALDI-TOF-MS). The masses of the trypsin-like and chymotrypsin-like proteinases were determined to be 25,020, 25,070, 25,060. and 26,260 Da for TL I, TL II, TL III, and CL, respectively. The masses of the CPA enzymes are likely 23,170 and 23,260 Da. whereas the CPB enzyme masses likely are 33,730 and 33,900 Da, The degradation efficiency and cleavage pattern of the trypsin-like proteinases were studied with native myoglobin as a model substrate using CE, MALDI-TOF-MS, and nanoelectrospray mass spectrometry (nESI-MS). The degradation efficiency of the trypsin-like proteinases was found to be approximately 12 and 60 times higher compared to bovine trypsin at 37 degreesC and 1-3 degreesC, respectively. All three fractions of trypsin-like proteinases showed a carboxypeptidase activity in combination with their trypsin activity. (C) 2002 Elsevier Science (USA). All rights reserved.</t>
  </si>
  <si>
    <t>Royal Inst Technol, Dept Analyt Chem, SE-10044 Stockholm, Sweden; Antarctic Pharma AB, SE-10405 Stockholm, Sweden</t>
  </si>
  <si>
    <t>Royal Institute of Technology</t>
  </si>
  <si>
    <t>Roeraade, J (corresponding author), Royal Inst Technol, Dept Analyt Chem, Teknikringen 36, SE-10044 Stockholm, Sweden.</t>
  </si>
  <si>
    <t>Emmer, Åsa/A-3083-2015</t>
  </si>
  <si>
    <t>Sjodahl, Johan/0000-0003-4954-7157</t>
  </si>
  <si>
    <t>1046-5928</t>
  </si>
  <si>
    <t>PROTEIN EXPRES PURIF</t>
  </si>
  <si>
    <t>Protein Expr. Purif.</t>
  </si>
  <si>
    <t>PII s1046-5928(02)00519-3</t>
  </si>
  <si>
    <t>10.1016/S1046-5928(02)00519-3</t>
  </si>
  <si>
    <t>Biochemical Research Methods; Biochemistry &amp; Molecular Biology; Biotechnology &amp; Applied Microbiology</t>
  </si>
  <si>
    <t>Biochemistry &amp; Molecular Biology; Biotechnology &amp; Applied Microbiology</t>
  </si>
  <si>
    <t>613CJ</t>
  </si>
  <si>
    <t>WOS:000179113700021</t>
  </si>
  <si>
    <t>Renfrew, IA; Anderson, PS</t>
  </si>
  <si>
    <t>The surface climatology of an ordinary katabatic wind regime in Coats Land, Antarctica</t>
  </si>
  <si>
    <t>Climate Conference 2001</t>
  </si>
  <si>
    <t>AUG, 2001</t>
  </si>
  <si>
    <t>UTRECHT UNIV, UTRECHT, NETHERLANDS</t>
  </si>
  <si>
    <t>UTRECHT UNIV</t>
  </si>
  <si>
    <t>BOUNDARY-LAYER; ADELIE LAND; ICE SHELF; DYNAMICS; SUMMER; HALLEY; SPEED; ZONE</t>
  </si>
  <si>
    <t>The surface climatology of Coats Land, Antarctica, is described through observations from automatic weather stations, from Halley station, from upper air soundings and from satellite remote sensing. Coats Land consists of the Brunt Ice Shelf and the adjoining continent to the South. The topography of this region is typical of much of the Antarctic coastal fringes: a modest slope (5% at most) and relative uniformity across the slope. A basic climatology broken into site and season is presented. In winter, and to an extent in the equinoctial seasons, the region clearly divides into two dynamical regimes. Over the ice shelf winds are usually from the east or occasionally from the west, whereas over the continental slopes winds are from the east to south quadrant. Over the ice shelf the surface layer is about 10 K colder, in terms of potential temperature, than on the continent, and is also more stable than on the steeper parts of the slope. Motivated by case studies. three criteria are developed to select a subset of the data that are katabatic in the sense that the flow is believed to be primarily due to a downslope buoyancy forcing. On the continental slope, the Criteria pick out a coherent Subset of the data that are tightly clustered in wind speed and wind direction. Typical katabatic winds are from 10degrees to the east of the fall line and 7.5 ms(-1) at the steepest part of the slope (5.1 ms(-1) higher up). They are rarely more than 15 ms(-1) in this region; hence their description as ordinary, in contrast with those extraordinary katabatic regimes that have been the focus of previous studies. The katabatic flow remains close to adiabatic as it moves down the slope, and is relatively dry near the slope foot. We estimate the flow to be primarily katabatic at most 40-50% of the time, although it may appear to be katabatic, from wind speed and wind direction characteristics, some 60-70% of the time. There is no coherent katabatic-flow signature on the ice shelf.</t>
  </si>
  <si>
    <t>Renfrew, IA (corresponding author), British Antarctic Survey, High Cross,Madingley Rd, Cambridge CB3 0ET, England.</t>
  </si>
  <si>
    <t>Renfrew, Ian A/E-4057-2010</t>
  </si>
  <si>
    <t>Renfrew, Ian/0000-0001-9379-8215</t>
  </si>
  <si>
    <t>10.1034/j.1600-0870.2002.201397.x</t>
  </si>
  <si>
    <t>605PD</t>
  </si>
  <si>
    <t>WOS:000178685500004</t>
  </si>
  <si>
    <t>Van den Broeke, MR; Van Lipzig, NPM</t>
  </si>
  <si>
    <t>Impact of polar vortex variability on the wintertime low-level climate of East Antarctica: results of a regional climate model</t>
  </si>
  <si>
    <t>SEMIANNUAL OSCILLATION; SOUTHERN-HEMISPHERE; TEMPERATURE; REANALYSIS; PENINSULA; WINDS</t>
  </si>
  <si>
    <t>Observations show that wintertime low level wind and temperatures ill East Antarctica respond markedly to variations in the Southern Hemisphere circumpolar vortex. To explain this, we use output of a regional climate model RACMO/ANTI. A strong vortex extends far to the south and to relatively low atmospheric levels, which reduces the strength and directional constancy of the low-level easterlies. Over the ocean, the easterlies south of the circumpolar pressure trough (CPT) are significantly weakened and the westerlies north of it enhanced. Over the ice sheet, all increased katabatic forcing counteracts the weakening of the easterly near-surface winds. Together with the increased background temperature gradient, which enhances west-to-east turning of the large scale winds, the wind effects of vortex variability over the East Antarctic ice sheet are limited. Pronounced temperature effects are found on the ice sheet: under strong vortex conditions the lower troposphere over East Antarctica cools by 1-3 K through decreased meridional exchange of air. In addition, the weaker low-level easterlies reduce downward mixing of warm air, which causes additional cooling by up to 1.5 K at the surface.</t>
  </si>
  <si>
    <t>Van den Broeke, MR (corresponding author), Univ Utrecht, Inst Marine &amp; Atmospher Res, POB 80005, NL-3508 TA Utrecht, Netherlands.</t>
  </si>
  <si>
    <t>10.1034/j.1600-0870.2002.201383.x</t>
  </si>
  <si>
    <t>WOS:000178685500005</t>
  </si>
  <si>
    <t>Van Lipzig, NPM; Van den Broeke, MR</t>
  </si>
  <si>
    <t>A model study on the relation between atmospheric boundary-layer dynamics and poleward atmospheric moisture transport in Antarctica</t>
  </si>
  <si>
    <t>OPERATIONAL NUMERICAL-ANALYSES; KATABATIC WIND REGIME; SURFACE MASS-BALANCE; DRONNING-MAUD-LAND; WATER-VAPOR; CLIMATE MODEL; ADELIE LAND; PRECIPITATION; SCALE; SENSITIVITY</t>
  </si>
  <si>
    <t>A regional atmospheric model was used to study the relationship between atmospheric boundary-layer dynamics and moisture transport toward the Antarctic grounded ice sheet. The model was integrated for a 14-yr period ( 1980-1993) using a grid spacing of 55 km. Re-analyses from the European centre for medium-range weather forecasts were used to force the model from the lateral boundaries. Sea surface temperature and sea ice extent were prescribed from daily observations. It was found that the boundary layer responds passively to the large-scale circulation rather than being the driving force for the meridional circulation and moisture advection toward the ice sheet. Moisture transport by the mean circulation is directed from the ice sheet toward the Southern Ocean and transient eddies are responsible for the moisture transport toward the ice sheet. Frequent interruption of the katabatic winds by passing low-pressure systems characterise years with a large poleward moisture transport. Therefore there is a negative correlation between the annual mean poleward moisture transport and both the directional constancy and the southerly wind component in the boundary layer near the ice edge. A case study for July 1980 shows that the wind and the specific humidity in the middle and higher troposphere determine the poleward atmospheric moisture transport in Wilkes Land and that the moisture advection in the boundary layer is insignificant in this region.</t>
  </si>
  <si>
    <t>Royal Netherlands Meteorol Inst, KNMI, NL-3730 AE De Bilt, Netherlands; Inst Marine &amp; Atmospher Res Utrecht, IMAU, NL-3508 TA Utrecht, Netherlands</t>
  </si>
  <si>
    <t>Van Lipzig, NPM (corresponding author), British Antarctic Survey, High Cross,Madingley Rd, Cambridge CB3 0ET, England.</t>
  </si>
  <si>
    <t>10.1034/j.1600-0870.2002.201404.x</t>
  </si>
  <si>
    <t>WOS:000178685500006</t>
  </si>
  <si>
    <t>Olson, JJ</t>
  </si>
  <si>
    <t>Antarctica: a review of recent medical research</t>
  </si>
  <si>
    <t>TRENDS IN PHARMACOLOGICAL SCIENCES</t>
  </si>
  <si>
    <t>CELL-MEDIATED-IMMUNITY; SPACE ANALOG; RESIDENCE; STATION; WINTER; EPIDEMIOLOGY; PERFORMANCE; INJURIES; EXTREME; BRIGHT</t>
  </si>
  <si>
    <t>This article reviews recent developments and areas of research in Antarctic medical science. Nineteen nations are part of the Antarctic treaty and undertake research programmes in Antarctica. Medical science is a small but important part of these programmes. Areas that have been studied include aspects of cold physiology, ultraviolet light effects, endocrine changes (including polar T3 syndrome), alterations in immune function, chronobiology, psychology, microbiology, epidemiology and telemedicine. Antarctica has been recognized as the closest thing on Earth to a testing ground for aspects of space exploration and as such has been termed a space analogue.</t>
  </si>
  <si>
    <t>rdoc@south.nerc-bas.ac.uk</t>
  </si>
  <si>
    <t>ELSEVIER SCIENCE LONDON</t>
  </si>
  <si>
    <t>84 THEOBALDS RD, LONDON WC1X 8RR, ENGLAND</t>
  </si>
  <si>
    <t>0165-6147</t>
  </si>
  <si>
    <t>1873-3735</t>
  </si>
  <si>
    <t>TRENDS PHARMACOL SCI</t>
  </si>
  <si>
    <t>Trends Pharmacol. Sci.</t>
  </si>
  <si>
    <t>PII S0165-6147(02)02087-4</t>
  </si>
  <si>
    <t>10.1016/S0165-6147(02)02087-4</t>
  </si>
  <si>
    <t>Pharmacology &amp; Pharmacy</t>
  </si>
  <si>
    <t>599VR</t>
  </si>
  <si>
    <t>WOS:000178356300012</t>
  </si>
  <si>
    <t>Makarova, OL</t>
  </si>
  <si>
    <t>Acarocenoses (Acariformes, Parasitiformes) in polar deserts. 2. Cenotic relations. Structure of communities. Proportion of suborders</t>
  </si>
  <si>
    <t>LEMMING DICROSTONYX-TORQUATUS; MITE ALASKOZETES-ANTARCTICUS; LIFE-HISTORY STRATEGIES; COLD-HARDINESS; OXYGEN-CONSUMPTION; ORIBATID MITE; TERRESTRIAL INVERTEBRATES; NANORCHESTIDAE ACARI; CHIHUAHUAN DESERT; SEVERNAYA-ZEMLYA</t>
  </si>
  <si>
    <t>The richest mite fauna (50 species) was found in lemming (Dicrostonyx torquatus) colonies, inhabiting the most drained and heat sites on the coastal plain of Bol'shevik Island, the Severnaya Zemlya Archipelago. It includes eleven specific (not found anywhere else) species, but only six of them are associated with lemmings themselves or their burrow substrates. The permanent parasite Laelaps semitectus predominates on these animals. Two phoretic associations of mites with dipteran insects were recorded: the numerous soil mite Arc toseius productus disperses on the common chironomid species Smittia sp. (larvae dwell in soil) and Arctoseius tajmyricus, on the winter crane Trichocera arctica (both species in bulk develop in zoogenic substrates). The mite diversity in separate biotopes (5-31 species, average 15) is half tundra's one (16-50 and 31, respectively). The main body of acarocenoses in common habitats (65-97% of the total density), as often in Antarctic polar deserts, is composed of prostigmatic mites belonging to the genera Nanorchestes and Protereynetes (small, slightly sclerotized, algivorous and omnivorous forms). In the zonal communities proper (with dominant Deschampsia borealis and mosses), these representatives of the most ancient stocks of Acariformes (Nanorchestidae, Eupodina are known from Devonian fossils) almost completely replace oribatids, acting as their ecological equivalents. The last is also true for and deserts. In tundra-like and other intrazonal biotopes, that free themselves from snow much earlier than other habitats, the total mite abundance reaches the maximal values (1000-2400 spm./dm(2)), and oribatids costitute up to 50% of the mite population. Thirty-nine mite species out of 61 ones found on the coastal plain are restricted to these habitats. Possible reasons for the Prostigmata success in polar deserts are discussed. The simple organization, piercing-sucking mode of feeding, and a high rate of standard metabolism are considered as the most important preadaptations that enable these organisms to develop in short favorable periods.</t>
  </si>
  <si>
    <t>Russian Acad Sci, Severtsov Inst Ecol &amp; Evolut, Moscow 119071, Russia</t>
  </si>
  <si>
    <t>Russian Academy of Sciences; Saratov Scientific Center of the Russian Academy of Sciences; Severtsov Institute of Ecology &amp; Evolution</t>
  </si>
  <si>
    <t>Russian Acad Sci, Severtsov Inst Ecol &amp; Evolut, Moscow 119071, Russia.</t>
  </si>
  <si>
    <t>lsdc@orc.ru</t>
  </si>
  <si>
    <t>Makarova, Olga Lvowna/0000-0002-1820-2511</t>
  </si>
  <si>
    <t>MAIK NAUKA-INTERPERIODICA PUBL</t>
  </si>
  <si>
    <t>GSP-1, MARONOVSKII PER 26, MOSCOW, 119049, RUSSIA</t>
  </si>
  <si>
    <t>613PV</t>
  </si>
  <si>
    <t>WOS:000179141400005</t>
  </si>
  <si>
    <t>Mid-late Pleistocene glacimarine sedimentary processes of a high-latitude, deep-sea sediment drift (Antarctic Peninsula Pacific margin)</t>
  </si>
  <si>
    <t>Antarctic Peninsula; glacial sedimentation; sediment drifts; contourites; plumites; turbidites</t>
  </si>
  <si>
    <t>CONTINENTAL RISE WEST; WEDDELL SEA; ICE-SHEET; SURFACE SEDIMENTS; NEOGLOBOQUADRINA-PACHYDERMA; DOME-C; SLOPE; TRANSPORT; ADJACENT; TURBIDITE</t>
  </si>
  <si>
    <t>The effects of glaciation on sediment drifts is recognised from marked sedimentary facies variation in deep sea cores taken from the continental rise of the Antarctic Peninsula Pacific margin. Nineteen sediment cores were visually described, logged for magnetic susceptibility, and X-radiographed. About 1000 analyses were performed for grain size, clay minerals and biostratigraphy (foraminifera, nannofossils and diatoms). Four sediment types associated with distinct sedimentary processes are recognised based on textural/compositional analysis. (1) Hemipelagic mud forms the bulk of the interglacial sediment, and accumulated from the pelagic settling of bioclasts and ice-rafted/windtransported detritus. (2) Terrigenous mud forms the bulk of the glacial sediment, and accumulated from a combination of sedimentary processes including turbidity currents, turbid plumes, and bottom current reworking of nepheloid layers. (3) Silty deposits occurring as laminated layers and lenses, represent the lateral spillout of low-density turbidity currents. (4) Lastly, glacial/interglacial gravelly mud layers derive from settling of ice-rafted detritus. Five depositional settings are interpreted within sediment Drift 7, each characterised by the dominance/interaction of one or several depositional processes. The repetitive succession of typical sedimentary facies is inferred to reflect a sequence of four climatic stages (glaciation, glacial, deglaciation, and interglacial), each one characterised by a distinctive clay mineral assemblage and bioclastic content. Variations in clay mineral assemblage within interglacial stage 5 (core SED-06) suggest minor colder climatic fluctuations, possibly correlatable with substages 5a to 5e. (C) 2002 Elsevier Science B.V. All rights reserved.</t>
  </si>
  <si>
    <t>Ist Nazl Oceanog &amp; Geofis Sperimentale OGS, I-34010 Trieste, Italy; Univ Urbino, Dipartimento Geodinam &amp; Sedimentol, I-61029 Urbino, Italy; Univ Parma, Dipartimento Sci Geol, I-43100 Parma, Italy; CNR, Ist Geol Marina, I-40126 Bologna, Italy; Univ Genoa, Dipartimento Terr &amp; Risorse, Genoa, Italy; Univ Siena, Dipartimento Sci Terra, I-53100 Siena, Italy</t>
  </si>
  <si>
    <t>Istituto Nazionale di Oceanografia e di Geofisica Sperimentale; University of Urbino; University of Parma; Consiglio Nazionale delle Ricerche (CNR); Istituto di Scienze Marine (ISMAR-CNR); University of Genoa; University of Siena</t>
  </si>
  <si>
    <t>Ist Nazl Oceanog &amp; Geofis Sperimentale OGS, Borgo Grotta Gigante 42-C, I-34010 Trieste, Italy.</t>
  </si>
  <si>
    <t>rlucchi@ogs.trieste.it</t>
  </si>
  <si>
    <t>Camerlenghi, Angelo/C-8816-2011; Camerlenghi, Angelo/O-1593-2013; Camerlenghi, Angelo/AAG-3852-2019; Rebesco, Michele/B-7462-2014; Morigi, Caterina/B-3316-2012; Busetti, Martina/L-5185-2014</t>
  </si>
  <si>
    <t>Camerlenghi, Angelo/0000-0002-8128-9533; Camerlenghi, Angelo/0000-0002-8128-9533; Rebesco, Michele/0000-0002-9492-4081; Morigi, Caterina/0000-0003-1340-9932; Busetti, Martina/0000-0001-7039-3282; Lucchi, Renata Giulia/0000-0001-5111-6968; Persico, Davide/0000-0001-5194-9724; Giorgetti, Giovanna/0000-0001-6233-4485</t>
  </si>
  <si>
    <t>SEP 30</t>
  </si>
  <si>
    <t>PII S0025-3227(02)00470-X</t>
  </si>
  <si>
    <t>10.1016/S0025-3227(02)00470-X</t>
  </si>
  <si>
    <t>618MW</t>
  </si>
  <si>
    <t>WOS:000179422700010</t>
  </si>
  <si>
    <t>Verde, C; Carratore, V; Riccio, A; Tamburrini, M; Parisi, E; di Prisco, G</t>
  </si>
  <si>
    <t>The functionally distinct hemoglobins of the Arctic spotted wolffish Anarhichas minor</t>
  </si>
  <si>
    <t>AMINO-ACID-SEQUENCE; FISH PAGOTHENIA-BERNACCHII; OXYGEN-BINDING PROPERTIES; CRYSTAL-STRUCTURE; ANTARCTIC FISHES; HUMAN DEOXYHEMOGLOBIN; EXTREME ENVIRONMENTS; ANGSTROM RESOLUTION; TREMATOMUS-NEWNESI; SINGLE HEMOGLOBIN</t>
  </si>
  <si>
    <t>The Arctic fish Anarhichas minor, a benthic sedentary species, displays high hemoglobin multiplicity. The three major hemoglobins (Hb 1, Hb 2, and Hb, 3) show important functional differences in pH and organophosphate regulation, subunit cooperativity, and response of oxygen binding to temperature. Hb 1 and Hb 2 display a low, effector-enhanced Bohr effect and no Root effect. In contrast, Hb 3 displays pronounced Bohr and Root effects, accompanied by strong organophosphate regulation. Hb 1 has the beta (beta(1)) chain in common with Hb 2; Hb 3 and Hb 2 share the alpha (alpha(2)) chain. The amino acid sequences have been established. Several substitutions in crucial positions were observed, such as Cys in place of C-terminal His in the beta(1) chain of Hb 1 and Rb 2. In Rb 3, Val E11 of the beta(2) chain is replaced by Ile. Homology modeling revealed an unusual structure of the Hb 3 binding site of inositol hexakisphoshate. Phylogenetic analysis indicated that only Hb 2 displays higher overall similarity with the major Antarctic hemoglobins. The oxygen transport system of A minor differs remarkably from those of Antarctic Notothenioidei, indicating distinct evolutionary pathways in the regulatory mechanisms of the fish respiratory system in the two polar environments.</t>
  </si>
  <si>
    <t>TAMBURRINI, MAURIZIO/0000-0001-5987-0957; VERDE, Cinzia/0000-0001-6185-282X</t>
  </si>
  <si>
    <t>SEP 27</t>
  </si>
  <si>
    <t>10.1074/jbc.M202474200</t>
  </si>
  <si>
    <t>598KN</t>
  </si>
  <si>
    <t>WOS:000178275100068</t>
  </si>
  <si>
    <t>Irigoien, X; Harris, RP; Verheye, HM; Joly, P; Runge, J; Starr, M; Pond, D; Campbell, R; Shreeve, R; Ward, P; Smith, AN; Dam, HG; Peterson, W; Tirelli, V; Koski, M; Smith, T; Harbour, D; Davidson, R</t>
  </si>
  <si>
    <t>Copepod hatching success in marine ecosystems with high diatom concentrations</t>
  </si>
  <si>
    <t>CALANUS-HELGOLANDICUS; ORGANIC-CARBON; EGG-PRODUCTION; PHYTOPLANKTON; FISHERIES</t>
  </si>
  <si>
    <t>Diatoms dominate spring bloom phytoplankton assemblages in temperate waters and coastal upwelling regions of the global ocean. Copepods usually dominate the zooplankton in these regions and are the prey of many larval fish species. Recent laboratory studies suggest that diatoms may have a deleterious effect on the success of copepod egg hatching(1-4). These findings challenge the classical view of marine food-web energy flow from diatoms to fish by means of copepods(5-7). Egg mortality is an important factor in copepod population dynamics(8), thus, if diatoms have a deleterious in situ effect, paradoxically, high diatom abundance could limit secondary production. Therefore, the current understanding of energy transfer from primary production to fisheries in some of the most productive and economically important marine ecosystems(9) may be seriously flawed(1,10). Here we present in situ estimates of copepod egg hatching success from twelve globally distributed areas, where diatoms dominate the phytoplankton assemblage. We did not observe a negative relationship between copepod egg hatching success and either diatom biomass or dominance in the microplankton in any of these regions. The classical model for diatom-dominated system remains valid.</t>
  </si>
  <si>
    <t>AZTI, Pasaia 20110, Spain; Plymouth Marine Lab, Plymouth PL1 3DH, Devon, England; Marine &amp; Coastal Management, ZA-8012 Cape Town, Cape Town, South Africa; Inst Maurice Lamontagne, Mont Joli, PQ G5H 3Z4, Canada; British Antarctic Survey, Cambridge CB3 0ET, England; Univ Victoria, Sch Earth &amp; Ocean Sci, Victoria, BC V8W 3P6, Canada; Univ Connecticut, Dept Marine Sci, Groton, CT 06340 USA; Natl Marine Fisheries Serv, Newport, OR 97365 USA; Univ Trieste, Dept Biol, Trieste, Italy; LBM, Trieste, Italy; Netherlands Inst Sea Res, NL-1790 AB Den Burg, Netherlands; Southampton Oceanog Ctr, Southampton SO14 3ZH, Hants, England</t>
  </si>
  <si>
    <t>AZTI; Plymouth Marine Laboratory; University of Cape Town; Fisheries &amp; Oceans Canada; UK Research &amp; Innovation (UKRI); Natural Environment Research Council (NERC); NERC British Antarctic Survey; University of Victoria; University of Connecticut; National Oceanic Atmospheric Admin (NOAA) - USA; National Aeronautics &amp; Space Administration (NASA); University of Trieste; Utrecht University; Royal Netherlands Institute for Sea Research (NIOZ); NERC National Oceanography Centre; University of Southampton</t>
  </si>
  <si>
    <t>AZTI, Herrera Kaia Portualdea S-G, Pasaia 20110, Spain.</t>
  </si>
  <si>
    <t>xirigoien@pas.azti.es</t>
  </si>
  <si>
    <t>Tirelli, Valentina/GPG-4131-2022; Irigoien, Xabier/B-8171-2009; Dam, Hans G/A-9723-2015; Irigoien, Xabier/L-7909-2014</t>
  </si>
  <si>
    <t>Tirelli, Valentina/0000-0002-5152-2891; Dam, Hans G/0000-0001-6121-5038; Irigoien, Xabier/0000-0002-5411-6741; Koski, Marja/0000-0002-1860-9768</t>
  </si>
  <si>
    <t>1476-4687</t>
  </si>
  <si>
    <t>SEP 26</t>
  </si>
  <si>
    <t>10.1038/nature01055</t>
  </si>
  <si>
    <t>596ZB</t>
  </si>
  <si>
    <t>WOS:000178195400043</t>
  </si>
  <si>
    <t>Collins, T; Meuwis, MA; Stals, I; Claeyssens, M; Feller, G; Gerday, C</t>
  </si>
  <si>
    <t>A novel family 8 xylanase, functional and physicochemical characterization</t>
  </si>
  <si>
    <t>GLYCOSYL HYDROLASES; PSYCHROPHILIC ENZYMES; MICROBIAL XYLANASES; CRYSTAL-STRUCTURE; ACTIVE-SITE; PURIFICATION; SEQUENCE; CLASSIFICATION; GLYCOSYLTRANSFERASES; SUCCINOGENES</t>
  </si>
  <si>
    <t>Xylanases are generally classified into glycosyl hydrolase families 10 and 11 and are found to frequently have an inverse relationship between their pI and molecular mass values. However, we have isolated a psychrophilic xylanase that belongs to family 8 and which has both a high pI and high molecular mass. This novel xylanase, isolated from the Antarctic bacterium Pseudoalteromonas haloplanktis, is not homologous to family 10 or 11 enzymes but has 20-30% identity with family 8 members. NAIR analysis shows that this enzyme hydrolyzes with inversion of anomeric configuration, in contrast to other known xylanases which are retaining. No cellulase, chitosanase or lichenase activity was detected. It appears to be functionally similar to family 11 xylanases. It hydrolyzes xylan to principally xylotriose and xylotetraose and is most active on long chain xylo-oligosaccharides. Kinetic studies indicate that it has a large substrate binding cleft, containing at least six xylose-binding subsites. Typical psychrophilic characteristics of a high catalytic activity at low temperatures and low thermal stability are observed. An evolutionary tree of family 8 enzymes revealed the presence of six distinct clusters. Indeed classification in family 8 would suggest an (alpha/alpha)(6) fold, distinct from that of other currently known xylanases.</t>
  </si>
  <si>
    <t>Univ Liege, Inst Chem B6, Biochem Lab, B-4000 Liege, Belgium; Univ Ghent, Dept Biochem Physiol &amp; Microbiol, B-9000 Ghent, Belgium</t>
  </si>
  <si>
    <t>University of Liege; Ghent University</t>
  </si>
  <si>
    <t>Gerday, C (corresponding author), Univ Liege, Inst Chem B6, Biochem Lab, B-4000 Liege, Belgium.</t>
  </si>
  <si>
    <t>ch.gerday@ulg.ac.be</t>
  </si>
  <si>
    <t>Stals, Ingeborg/G-2123-2012; Collins, Tony/A-3484-2012</t>
  </si>
  <si>
    <t>Stals, Ingeborg/0000-0001-5212-3721; Collins, Tony/0000-0002-4167-973X</t>
  </si>
  <si>
    <t>SEP 20</t>
  </si>
  <si>
    <t>10.1074/jbc.M204517200</t>
  </si>
  <si>
    <t>595PB</t>
  </si>
  <si>
    <t>WOS:000178117000061</t>
  </si>
  <si>
    <t>Momo, F; Kowalke, J; Schloss, I; Mercuri, G; Ferreyra, G</t>
  </si>
  <si>
    <t>The role of Laternula elliptica in the energy budget of Potter Cove (King George Island, Antarctica)</t>
  </si>
  <si>
    <t>ECOLOGICAL MODELLING</t>
  </si>
  <si>
    <t>mathematical model; energy budget; Laternula elliptica; Antarctic ecosystem; benthos</t>
  </si>
  <si>
    <t>MCMURDO SOUND; BRODERIP; DYNAMICS</t>
  </si>
  <si>
    <t>In order to understand the role of the bivalve Laternula elliptica in the energy budget of Potter Cove ecosystem (Antarctica), two coupled mathematical models are presented. One is an Individual Based Model (IBM) that incorporates the known physiological and ecological characteristics of L. elliptica; the other is a synthetic Community Model (CM) that incorporates the main ecological compartments involved in the ecosystem dynamics. The IBM gives data for the L. elliptica population to input in the CM. The analysis of this last model, shows that L. elliptica is capable of maintaining a stable biomass despite the fluctuation of its energy sources, This bivalve may also compensates the environmental fluctuations increasing the energy flow to decomposers and deposit-feeders when the food is scarce (winter). The benthic system of Potter Cove may resists environmental fluctuations maintaining a stable structure, by the action of L. elliptica that appears as the key species of this ecosystem. (C) 2002 Elsevier Science B.V. All rights reserved.</t>
  </si>
  <si>
    <t>Univ Nacl Lujan, Programa Invest Ecol Matemat, Lujan, Argentina; Alfred Wegener Inst Polar &amp; Marine Res, D-27515 Bremerhaven, Germany; Inst Antaritco Argentino, Dept Biol, RA-1248 Buenos Aires, DF, Argentina</t>
  </si>
  <si>
    <t>Universidad Nacional de Lujan; Helmholtz Association; Alfred Wegener Institute, Helmholtz Centre for Polar &amp; Marine Research</t>
  </si>
  <si>
    <t>Momo, F (corresponding author), Univ Nacl Lujan, Programa Invest Ecol Matemat, CC 221,B6700ZAB, Lujan, Argentina.</t>
  </si>
  <si>
    <t>Schloss, Irene R./U-5411-2018; Momo, Fernando R/E-3426-2012; Momo, Fernando/A-5984-2015</t>
  </si>
  <si>
    <t>Schloss, Irene R./0000-0002-5917-8925; Momo, Fernando R/0000-0003-0710-1149; Ferreyra, Gustavo Adolfo/0000-0003-1953-5067</t>
  </si>
  <si>
    <t>0304-3800</t>
  </si>
  <si>
    <t>ECOL MODEL</t>
  </si>
  <si>
    <t>Ecol. Model.</t>
  </si>
  <si>
    <t>SEP 15</t>
  </si>
  <si>
    <t>PII S0304-3800(02)00081-9</t>
  </si>
  <si>
    <t>10.1016/S0304-3800(02)00081-9</t>
  </si>
  <si>
    <t>584YB</t>
  </si>
  <si>
    <t>WOS:000177495400004</t>
  </si>
  <si>
    <t>Lukianova, R; Troshichev, O; Lu, G</t>
  </si>
  <si>
    <t>The polar cap magnetic activity indices in the southern (PCS) and northern (PCN) polar caps: Consistency and discrepancy</t>
  </si>
  <si>
    <t>FIELD-ALIGNED CURRENTS; INTERPLANETARY QUANTITIES; INDEX; PROXY; AE</t>
  </si>
  <si>
    <t>[1] There are some systematic differences between the 1-min Polar Cap (PC) indices of magnetic activity derived from data from the southern hemispheric station, Vostok, and the northern hemispheric station, Thule. First of all, differences in sign of the PC index are observed when B-Z is northward: negative values of the PC index are common in the summer polar cap. Secondly, predominance of larger PC index values is seen in winter hemisphere for extremely high levels of magnetic activity (PC &gt; 12) when the ionospheric electric field in summer and winter polar caps tends to approach an asymptotic value of E = 40-45 mV/ m. It is suggested that ionospheric conductivity in the winter polar cap can be significantly increased owing to bombardment of the ionosphere by solar protons (E = 1-10 MeV) in association with polar cap absorption events.</t>
  </si>
  <si>
    <t>Arctic &amp; Antarctic Res Inst, St Petersburg 199226, Russia; Natl Ctr Atmospher Res, High Altitude Observ, Boulder, CO 80307 USA</t>
  </si>
  <si>
    <t>Arctic &amp; Antarctic Research Institute; National Center Atmospheric Research (NCAR) - USA</t>
  </si>
  <si>
    <t>Lukianova, R (corresponding author), Arctic &amp; Antarctic Res Inst, St Petersburg 199226, Russia.</t>
  </si>
  <si>
    <t>Lukianova, Renata/K-3293-2012; Lu, Gang/A-6669-2011</t>
  </si>
  <si>
    <t>Lukianova, Renata/0000-0003-2343-9174;</t>
  </si>
  <si>
    <t>10.1029/2002GL015179</t>
  </si>
  <si>
    <t>635KL</t>
  </si>
  <si>
    <t>WOS:000180398000026</t>
  </si>
  <si>
    <t>Polyakov, IV; Alekseev, GV; Bekryaev, RV; Bhatt, U; Colony, RL; Johnson, MA; Karklin, VP; Makshtas, AP; Walsh, D; Yulin, AV</t>
  </si>
  <si>
    <t>Observationally based assessment of polar amplification of global warming</t>
  </si>
  <si>
    <t>SURFACE AIR-TEMPERATURE; ARCTIC-OCEAN; SEA-ICE; VARIABILITY; PERIOD</t>
  </si>
  <si>
    <t>[1] Arctic variability is dominated by multi-decadal fluctuations. Incomplete sampling of these fluctuations results in highly variable arctic surface-air temperature (SAT) trends. Modulated by multi-decadal variability, SAT trends are often amplified relative to northern-hemispheric trends, but over the 125-year record we identify periods when arctic SAT trends were smaller or of opposite sign than northern-hemispheric trends. Arctic and northern-hemispheric air-temperature trends during the 20th century (when multi-decadal variablity had little net effect on computed trends) are similar, and do not support the predicted polar amplification of global warming. The possible moderating role of sea ice cannot be conclusively identified with existing data. If long-term trends are accepted as a valid measure of climate change, then the SAT and ice data do not support the proposed polar amplification of global warming. Intrinsic arctic variability obscures long-term changes, limiting our ability to identify complex feedbacks in the arctic climate system.</t>
  </si>
  <si>
    <t>Univ Alaska Fairbanks, Int Arctic Res Ctr, Fairbanks, AK 99775 USA; Arctic &amp; Antarctic Res Inst, St Petersburg 199397, Russia; Univ Alaska, Inst Marine Sci, Fairbanks, AK 99775 USA</t>
  </si>
  <si>
    <t>University of Alaska System; University of Alaska Fairbanks; Arctic &amp; Antarctic Research Institute; University of Alaska System; University of Alaska Fairbanks</t>
  </si>
  <si>
    <t>Polyakov, IV (corresponding author), Univ Alaska Fairbanks, Int Arctic Res Ctr, Fairbanks, AK 99775 USA.</t>
  </si>
  <si>
    <t>Aleksandr, Yulin/Z-5911-2019; Bhatt, Uma S/D-3674-2009</t>
  </si>
  <si>
    <t>Bhatt, Uma/0000-0003-1056-3686</t>
  </si>
  <si>
    <t>10.1029/2001GL011111</t>
  </si>
  <si>
    <t>WOS:000180398000025</t>
  </si>
  <si>
    <t>Thunell, RC; Poli, MS; Rio, D</t>
  </si>
  <si>
    <t>Changes in deep and intermediate water properties in the western North Atlantic during marine isotope stages 11-42: Evidence from ODP Leg 172</t>
  </si>
  <si>
    <t>Ocean Drilling Program; Blake-Bahama Outer Ridge; Pleistocene; MIS 11; benthic carbon; oxygen isotopes; deep water circulation; North Atlantic Deep Water</t>
  </si>
  <si>
    <t>MILLENNIAL-SCALE CHANGES; OCEAN CIRCULATION; THERMOHALINE CIRCULATION; BENTHIC FORAMINIFERA; CARBON-ISOTOPE; CLIMATE; FRACTIONATION; VARIABILITY; SEDIMENTS</t>
  </si>
  <si>
    <t>The interval of time represented by marine isotope stages 11 and 12 (similar to360-470 ka) contains what may be the most extreme glacial and interglacial climate conditions of the Late Pleistocene. It has been suggested that sea level rose by similar to 160 in at the termination of glacial stage 12. This is 30% greater than the sea level rise that followed the most recent glacial maximum. There have been few detailed studies of the unique conditions that existed during the stage 11-12 time period because of the lack of high-quality core material. This problem has been addressed by the collection of high deposition rate cores from sediment drifts in the western North Atlantic during Ocean Drilling Project Leg 172. Benthic foraminiferal delta(13)C data from cores collected between similar to4600 and 1800 in were used to reconstruct bathymetric gradients in deep and intermediate water properties for selected time slices during this glacial-interglacial cycle. During glacial stage 12, the deep western North Atlantic was filled by a water mass that was more nutrient-enriched than modern Antarctic Bottom Water. Above 2000 m, a more nutrient-depleted water mass existed during this glacial stage. Such an intermediate water mass has been described for more recent glacial periods and presumably forms in a more proximate region of the North Atlantic. Interglacial stage 11 water mass properties closely resemble those of the present-day western North Atlantic. A nutrient-depleted water mass (delta(13)C of 0.75-1.0parts per thousand), similar to modern North Atlantic Deep Water existed between 3500 and 2000 in. This was underlain by a water mass with lower delta(13)C values (&lt;0.75 parts per thousand) that probably was derived from a southern source. Using Leg 172 data, along with previously published results from the Atlantic and Pacific oceans, we estimate a mean global delta C-13 change of 0.95 parts per thousand from stage 12 to stage 11. This is twice the whole ocean delta C-13 change reported for the transition from the last glacial maximum to the Holocene. (C) 2002 Elsevier Science B.V. All rights reserved.</t>
  </si>
  <si>
    <t>Univ S Carolina, Dept Geol Sci, Columbia, SC 29209 USA; Eastern Michigan Univ, Dept Geog &amp; Geol, Ypsilanti, MI 48197 USA; Univ Padua, Dept Geol Paleontol &amp; Geophys, I-35137 Padua, Italy</t>
  </si>
  <si>
    <t>University of South Carolina System; University of South Carolina Columbia; Eastern Michigan University; University of Padua</t>
  </si>
  <si>
    <t>Univ S Carolina, Dept Geol Sci, Columbia, SC 29209 USA.</t>
  </si>
  <si>
    <t>thunell@geol.sc.edu</t>
  </si>
  <si>
    <t>Poli, Maria-Serena/0000-0001-6470-032X</t>
  </si>
  <si>
    <t>PII S0025-3227(02)00323-7</t>
  </si>
  <si>
    <t>10.1016/S0025-3227(02)00323-7</t>
  </si>
  <si>
    <t>602XA</t>
  </si>
  <si>
    <t>WOS:000178528700005</t>
  </si>
  <si>
    <t>Franz, SO; Tiedemann, R</t>
  </si>
  <si>
    <t>Depositional changes along the Blake-Bahama Outer Ridge deep water transect during marine isotope stages 8 to 10 links to the Deep Western Boundary Current</t>
  </si>
  <si>
    <t>Ocean Drilling Program; Blake-Bahama Outer Ridge; Pleistocene; benthic carbon and oxygen isotopes; deep water circulation; North Atlantic Deep Water; carbonate deposition; Deep Western Boundary Current</t>
  </si>
  <si>
    <t>NORTH-ATLANTIC; OCEAN CIRCULATION; CACO3 DISSOLUTION; SEA FLOOR; CARBONATE; SEDIMENT; RECORD; STRATIGRAPHY; TEMPERATURE; LYSOCLINE</t>
  </si>
  <si>
    <t>ODP sites 1055-1062 recover a bathymetric transect from 1800 to 4800 water depth in the subtropical NW-Atlantic (Carolina Slope, Blake-Bahama Outer Ridge). This sediment drift region is known for high deposition rates ( &gt; 40 cm/kyr) and offers the excellent opportunity to investigate the history of water mass circulation and chemistry as well as depositional changes during the Quaternary. A late Pleistocene time interval from 250 to 350 kyr (marine isotope stages 8-10) was investigated with centennial- to millennial-scale time resolution. Stable isotope records of benthic foraminifera provide new detailed insights on variations in climate and deep water ventilation. The delta(13)C records indicate well ventilated North Atlantic water masses between 2200 and 3000 in water depth during the time interval from stage 9 to interstadial 8.5. During the glacial stages 8.4 and 10.2, however, the decrease in delta(13)C reflects an extension of nutrient-rich Antarctic Bottom Water (AABW) up to 2200 in water depth. This is paralleled by a shoaling of the lysocline as indicated by the carbonate records. A comparison between carbonate dissolution proxies points out that the carbonate dissolution at the hemipelagic sites was not only influenced by the different carbonate ion concentration of the water masses (AABW contra North Atlantic Deep Water) but also by the organic carbon flux to the sea floor especially at the shallower sites, whereby the decay of organic matter enhanced carbonate dissolution in the sediments. Additionally the varying depth position and strength of the Deep Western Boundary Current (DWBC) plays an important role on the depositional system along the Blake-Bahama Outer Ridge. Comparisons between current intensities as inferred from grain size analyses, sand, and carbonate contents suggest that high intensities of the DWBC during cold stages caused an erosion of the fine carbonate and an enrichment of the sand fraction at shallower depth. During warm stages the main core of DWBC moved to greater depth and allowed the settling of finer material at shallower depth. Synchronously this led to an increased supply of carbonate and extremely high carbonate concentrations below 3500 in water depth. (C) 2002 Elsevier Science B.V. All rights reserved.</t>
  </si>
  <si>
    <t>Univ Bonn, Inst Geol, D-53115 Bonn, Germany; GEOMAR, Forschungszentrum Marine Geowissensch, D-24148 Kiel, Germany</t>
  </si>
  <si>
    <t>University of Bonn; Helmholtz Association; GEOMAR Helmholtz Center for Ocean Research Kiel</t>
  </si>
  <si>
    <t>Franz, SO (corresponding author), Univ Bonn, Inst Geol, Nussallee 8, D-53115 Bonn, Germany.</t>
  </si>
  <si>
    <t>Tiedemann, Ralf/0000-0001-7211-8049</t>
  </si>
  <si>
    <t>PII S0025-3227(02)00325-0</t>
  </si>
  <si>
    <t>10.1016/S0025-3227(02)00325-0</t>
  </si>
  <si>
    <t>WOS:000178528700007</t>
  </si>
  <si>
    <t>Meyer-Rochow, VB; Royuela, M</t>
  </si>
  <si>
    <t>Calponin, caldesmon, and chromatophores: The smooth muscle connection</t>
  </si>
  <si>
    <t>MICROSCOPY RESEARCH AND TECHNIQUE</t>
  </si>
  <si>
    <t>immunocytochemistry; Antarctic fishes; melanophores; chromatosomes; pigment granules; motor proteins; actin microfilaments</t>
  </si>
  <si>
    <t>IMMUNOCYTOCHEMICAL OBSERVATIONS; INTERMEDIATE-FILAMENTS; DERMAL CHROMATOPHORES; FUNDULUS-HETEROCLITUS; MELANOSOME MOVEMENT; MOTILE IRIDOPHORES; PIGMENT TRANSPORT; GRANULE TRANSPORT; FISH MELANOPHORES; PROTEIN-KINASE</t>
  </si>
  <si>
    <t>Observations an pigment translocations in fish Chromatophores and speculations on the chemo-mechanical transduction processes responsible for the recorded chromatosome motilities are briefly reviewed. The presence of the two smooth muscle proteins caldesmon and calponin is confirmed by immunocytochemistry for melanophores and iridophores. of the Antarctic fishes Pagothenia borchgrevinki and Trematomus bernacchii. Troponin, a typical vertebrate skeletal muscle protein is absent from the chromatophores of the two fish species. It is suggested that calponin's role, in the presence of Ca2+ and calmodulin, is that of a modulator and that caldesmon, a molecule that competes with calponin for actin binding sites, is in a position in which it can switch on and off Ca2+-dependent contractility and relaxation. Freshly caught Antarctic fish are receiving conflicting signals, when hauled from the dark under-ice to the bright above-ice environment (nor-adrenaline secretion promoting aggregation, but exposure to bright light bringing on pigment dispersion); it is in such situations that the two proteins in question could play important roles. The precise nature of their involvement still needs to be worked out, but the fact that they do exist in the chromatophores, at all, appears to have an ontogenetic background.</t>
  </si>
  <si>
    <t>Int Univ Bremen IUB, Fac Sci &amp; Engn, D-28725 Bremen, Germany; Univ Oulu, Dept Biol, SF-90014 Oulu, Finland; Univ Alcala de Henares, Dept Cell Biol &amp; Genet, E-28871 Alcala De Henares, Madrid, Spain</t>
  </si>
  <si>
    <t>Int Univ Bremen IUB, Fac Sci &amp; Engn, POB 750 561, D-28725 Bremen, Germany.</t>
  </si>
  <si>
    <t>b.meyer-rochow@iu-bremen.de</t>
  </si>
  <si>
    <t>Royuela, Mar/0000-0003-1999-9849; MEYER-ROCHOW, V. Benno/0000-0003-1531-9244</t>
  </si>
  <si>
    <t>1059-910X</t>
  </si>
  <si>
    <t>1097-0029</t>
  </si>
  <si>
    <t>MICROSC RES TECHNIQ</t>
  </si>
  <si>
    <t>Microsc. Res. Tech.</t>
  </si>
  <si>
    <t>10.1002/jemt.10169</t>
  </si>
  <si>
    <t>Anatomy &amp; Morphology; Biology; Microscopy</t>
  </si>
  <si>
    <t>Anatomy &amp; Morphology; Life Sciences &amp; Biomedicine - Other Topics; Microscopy</t>
  </si>
  <si>
    <t>598FD</t>
  </si>
  <si>
    <t>WOS:000178264100010</t>
  </si>
  <si>
    <t>Yoon, HI; Park, BK; Kim, Y; Kang, CY</t>
  </si>
  <si>
    <t>Glaciomarine sedimentation and its paleoclimatic implications on the Antarctic Peninsula shelf over the last 15 000 years</t>
  </si>
  <si>
    <t>Antarctic Peninsula; continental shelf; deglaciation; glaciomarine sedimentation</t>
  </si>
  <si>
    <t>SOUTH SHETLAND ISLANDS; JAMES-ROSS-ISLAND; LATE PLEISTOCENE; CLIMATE HISTORY; WEDDELL SEA; ICE SHELF; RETREAT; ADVANCE; FJORDS; MARGIN</t>
  </si>
  <si>
    <t>Analyses of sedimentological, geochemical and micropaleontological parameters from radiocarbon-dated sediment cores retrieved from the Antarctic Peninsula's western continental shelf reveal a detailed paleoclimatic and/or paleoceanographic history over the last 15000 radiocarbon years. Deglaciation of the outer shelf off Anvers Island commenced prior to at least 15 000 yr BP, marked by the deposition of distal glaciomarine diamicton (facies 2) beneath a floating ice shelf, and lasted for 3800 years with increasing diatom abundance and total organic carbon (TOC) over time. A return to colder conditions occurred between 12 800 and 11600 yr BP with a drop in TOC content and diatom abundance, which is coincident with the Younger Dryas event in the North Atlantic region. At this time, an abrupt increase in percentage sea-ice taxa as well as in the ratio of (Fragilariopsis curta+Fragilariopsis cylindrus)/Thalassiosira antarctica suggests renewed ice-shelf advance. In contrast, the inner shelf was deglaciated somewhat later about 11000 yr BP, that is, 3000 years after the outer shelf. Prior to 11000 yr BP, deposition of proximal glaciomarine diamicton (facies 1) close to the grounding line under a floating ice shelf and/or persistent sea ice may have occurred on the inner shelf. After this date, deposition of distal glaciomarine diamicton (facies 2) followed. A climatic optimum is recognized between 6000 and 2500 yr BP, coinciding with a 'mid-Holocene climatic optimum' from several other Antarctic sites, e.g. the Palmer Deep. During this time, as the glacial system receded from the shelf, greatly enhanced primary productivity occurred in open marine conditions, resulting in the deposition of diatomaceous mud (facies 3) and causing post-depositional dissolution of calcareous benthic and planktonic foraminifers in sediment. Around 2500 yr BP (the onset of the Neoglacial), diatomaceous sandy mud (facies 4), characterized by a decrease in TOC and diatom abundance, reflects the formation of more extensive and seasonally persistent sea ice, as evidenced by an increase in percentage of sea-ice taxa and in the ratio of (F. curta+F. cylindrus)/T. antarctica. Our results provide evidence of climatic change on the Antarctic Peninsula's western shelf that helps to refine the existence and timing of late Pleistocene and Holocene millennial-scale climatic events in the Southern Hemisphere. (C) 2002 Elsevier Science B.V. All rights reserved.</t>
  </si>
  <si>
    <t>PII S0031-0182(02)00280-8</t>
  </si>
  <si>
    <t>10.1016/S0031-0182(02)00280-8</t>
  </si>
  <si>
    <t>598GY</t>
  </si>
  <si>
    <t>WOS:000178268800001</t>
  </si>
  <si>
    <t>Billups, K</t>
  </si>
  <si>
    <t>Late Miocene through early Pliocene deep water circulation and climate change viewed from the sub-Antarctic South Atlantic</t>
  </si>
  <si>
    <t>Miocene; Ocean Drilling Program site 1088; paleoceanography; Pliocene; stable isotopes</t>
  </si>
  <si>
    <t>WESTERN EQUATORIAL ATLANTIC; HIGH-RESOLUTION CHRONOLOGY; BENTHIC FORAMINIFERA; PANAMA UPLIFT; OCEAN; PACIFIC; PALEOCEANOGRAPHY; STRATIGRAPHY; EVOLUTION; INTERMEDIATE</t>
  </si>
  <si>
    <t>Benthic foraminiferal stable isotope records for the past 11 Myr from a recently drilled site in the sub-Antarctic South Atlantic (site 1088, Ocean Drilling Program Leg 177, 41degreesS, 15degreesE, 2082 in water depth) provide, for the first time, a continuous long-term perspective on deep water distribution patterns and Southern Ocean climate change from the late Miocene through the early Pliocene. I have compiled published late Miocene through Pliocene stable isotope records to place the new South Atlantic record in a global framework. Carbon isotope gradients between the North Atlantic, South Atlantic, and Pacific indicate that a nutrient-depleted watermass, probably of North Atlantic origin, reached the sub-Antarctic South Atlantic after 6.6 Ma. By 6.0 Ma the relative proportion of the northern provenance watermass was similar to today and by the early Pliocene it had increased to greater than the modern proportion suggesting that thermohaline overturn in the Atlantic was relatively strong prior to the early Pliocene interval of inferred climatic warmth. Site 1088 oxygen isotope values display a two-step increase between similar to7.4 Ma and 6.9 Ma, a trend that parallels a published delta(18)O record of a site on the Atlantic coast of Morocco. This is perhaps best explained by a gradual cooling of watermasses that were sinking in the Southern Ocean. I speculate that relatively strong thermohaline overturn at rates comparable to the present day interglacial interval during the latest Miocene may have provided the initial conditions for early Pliocene climatic warmth. The impact of an emerging Central American Seaway on Atlantic-Pacific Ocean upper water exchange may have been felt in the North Atlantic beginning in the latest Miocene between 6.6 and 6.0 Ma, which would be similar to1.5 Myr earlier than previously thought. (C) 2002 Elsevier Science B.V. All rights reserved.</t>
  </si>
  <si>
    <t>Univ Delaware, Coll Marine Studies, Lewes, DE 19958 USA</t>
  </si>
  <si>
    <t>University of Delaware</t>
  </si>
  <si>
    <t>Univ Delaware, Coll Marine Studies, 700 Pilottown Rd, Lewes, DE 19958 USA.</t>
  </si>
  <si>
    <t>kbillups@udel.edu</t>
  </si>
  <si>
    <t>PII S0031-0182(02)00340-1</t>
  </si>
  <si>
    <t>10.1016/S0031-0182(02)00340-1</t>
  </si>
  <si>
    <t>WOS:000178268800003</t>
  </si>
  <si>
    <t>Morgan, V; Delmotte, M; van Ommen, T; Jouzel, J; Chappellaz, J; Woon, S; Masson-Delmotte, V; Raynaud, D</t>
  </si>
  <si>
    <t>Relative timing of deglacial climate events in Antarctica and Greenland</t>
  </si>
  <si>
    <t>LAST GLACIAL PERIOD; VOSTOK ICE CORE; PAST; RECORDS; GASES; DOME</t>
  </si>
  <si>
    <t>The last deglaciation was marked by large, hemispheric, millennial-scale climate variations: the Bolling-Allerod and Younger Dryas periods in the north, and the Antarctic Cold Reversal in the south. A chronology from the high-accumulation Law Dome East Antarctic ice core constrains the relative timing of these two events and provides strong evidence that the cooling at the start of the Antarctic Cold Reversal did not follow the abrupt warming during the northern Bolling transition around 14,500 years ago. This result suggests that southern changes are not a direct response to abrupt changes in North Atlantic thermohaline circulation, as is assumed in the conventional picture of a hemispheric temperature seesaw.</t>
  </si>
  <si>
    <t>Antarctic Cooperat Res Ctr, Hobart, Tas, Australia; Australian Antarctic Div, Hobart, Tas, Australia; CNRS, Lab Glaciol &amp; Geophys Environm, F-38402 St Martin Dheres, France; CEA Saclay, Inst Pierre Simon Laplacer, Lab Sci Climat &amp; Environm, CEA,CNRS,UMR 1572, F-91191 Gif Sur Yvette, France</t>
  </si>
  <si>
    <t>Australian Antarctic Division; Centre National de la Recherche Scientifique (CNRS); CEA; Centre National de la Recherche Scientifique (CNRS); Universite Paris Saclay</t>
  </si>
  <si>
    <t>van Ommen, T (corresponding author), Antarctic Cooperat Res Ctr, GPO Box 252-80, Hobart, Tas, Australia.</t>
  </si>
  <si>
    <t>Masson-Delmotte, Valerie L/G-1995-2011; Raynaud, Dominique/H-9626-2016; Chappellaz, Jérôme A./A-4872-2011; raynaud, dominique/ABG-4718-2020; van Ommen, Tas/B-5020-2012</t>
  </si>
  <si>
    <t>Masson-Delmotte, Valerie L/0000-0001-8296-381X; van Ommen, Tas/0000-0002-2463-1718</t>
  </si>
  <si>
    <t>SEP 13</t>
  </si>
  <si>
    <t>10.1126/science.1074257</t>
  </si>
  <si>
    <t>592UJ</t>
  </si>
  <si>
    <t>WOS:000177955000041</t>
  </si>
  <si>
    <t>Kahle, J; Zauke, GP</t>
  </si>
  <si>
    <t>Bioaccumulation of trace metals in the copepod Calanoides acutus from the Weddell Sea (Antarctica):: comparison of two-compartment and hyperbolic toxicokinetic models</t>
  </si>
  <si>
    <t>AQUATIC TOXICOLOGY</t>
  </si>
  <si>
    <t>Antarctic; biomonitoring; metals; toxicokinetic models; zooplankton</t>
  </si>
  <si>
    <t>ATOMIC-ABSORPTION-SPECTROMETRY; MARINE-INVERTEBRATES; SOUTHERN-OCEAN; GREENLAND SEA; AMPHIPOD COLLECTIVES; ESTUARINE AMPHIPODS; BINDING PROTEINS; UPTAKE KINETICS; MYTILUS-EDULIS; BOARD SHIP</t>
  </si>
  <si>
    <t>Bioaccumulation of Cd, Co, Cu, Ni, Pb and Zn in the Antarctic calanoid copepod Calanoides acutus (Giesbrecht, 1902) was investigated during a cruise of RV 'Polarstern' to the Weddell Sea. Main goals were to provide information on accumulation strategies of the organisms tested and to verify toxicokinetic models as a predictive tool. Except for Cd, the organisms accumulated metals upon exposure. It was possible to estimate significant model parameters of two-compartment and hyperbolic models. These models were successfully verified in a second toxicokinetic uptake study. The model verification was extended in a third uptake study with increasing external metal dosing. We found a linear increase of net uptake with external waterborne metal exposures up to 80 mug Pb l(-1), with excellent predictions of the two-compartment model. For Co both models give reasonable predictions up to 20 mug Co l(-1). Regarding Cu, Ni and Zn only hyperbolic model predictions were in good agreement with measured values up to 150 mug Cu l(-1), 80 mug Ni l(-1) and 290 mug Zn l(-1) Due to a decrease of Cd body burden in the experiments, only the hyperbolic model was applicable, leading to reliable predictions up to 20 mug Cd l(-1). These concentrations largely determine the range for which these models may serve as a predictive tool. (C) 2002 Elsevier Science B.V. All rights reserved.</t>
  </si>
  <si>
    <t>Carl von Ossietzky Univ Oldenburg, Fachbereich Biol, ICBM, D-26111 Oldenburg, Germany</t>
  </si>
  <si>
    <t>Carl von Ossietzky Universitat Oldenburg</t>
  </si>
  <si>
    <t>Zauke, GP (corresponding author), Carl von Ossietzky Univ Oldenburg, Fachbereich Biol, ICBM, Postfach 2503, D-26111 Oldenburg, Germany.</t>
  </si>
  <si>
    <t>gerd.p.zauke@uni-oldenburg.de</t>
  </si>
  <si>
    <t>0166-445X</t>
  </si>
  <si>
    <t>AQUAT TOXICOL</t>
  </si>
  <si>
    <t>Aquat. Toxicol.</t>
  </si>
  <si>
    <t>SEP 10</t>
  </si>
  <si>
    <t>PII S0166-445X(01)00245-4</t>
  </si>
  <si>
    <t>10.1016/S0166-445X(01)00245-4</t>
  </si>
  <si>
    <t>Marine &amp; Freshwater Biology; Toxicology</t>
  </si>
  <si>
    <t>572NQ</t>
  </si>
  <si>
    <t>WOS:000176782000009</t>
  </si>
  <si>
    <t>Van Petegem, F; Collins, T; Meuwis, MA; Gerday, C; Feller, G; Van Beeumen, J</t>
  </si>
  <si>
    <t>Crystallization and preliminary X-ray analysis of a xylanase from the psychrophile Pseudoalteromonas haloplanktis</t>
  </si>
  <si>
    <t>ACTA CRYSTALLOGRAPHICA SECTION D-BIOLOGICAL CRYSTALLOGRAPHY</t>
  </si>
  <si>
    <t>ENZYMES; DIFFRACTION</t>
  </si>
  <si>
    <t>The 46 kDa xylanase from the Antarctic microorganism Pseudoalteromonas haloplanktis is an enzyme that efficiently catalyzes reactions at low temperatures. Here, the crystallization of both the native protein and the SeMet-substituted enzyme and data collection from both crystals using synchrotron radiation are described. The native data showed that the crystals diffract to 1.3 Angstrom resolution and belong to space group P2(1)2(1)2(1), with unit-cell parameters a = 50.87, b = 90.51, c = 97.23 Angstrom. SAD data collected at the peak of the selenium absorption edge proved to be sufficient to determine the heavy-atom configuration and to obtain electron density of good quality.</t>
  </si>
  <si>
    <t>State Univ Ghent, Lab Eiwitbiochem &amp; Eiwitengn, B-9000 Ghent, Belgium; Univ Liege, Inst Chem, Biochim Lab, B-4000 Liege, Belgium</t>
  </si>
  <si>
    <t>Ghent University; University of Liege</t>
  </si>
  <si>
    <t>Van Beeumen, J (corresponding author), State Univ Ghent, Lab Eiwitbiochem &amp; Eiwitengn, Ledeganckstr 35, B-9000 Ghent, Belgium.</t>
  </si>
  <si>
    <t>Van petegem, Filip/M-6061-2016; Collins, Tony/A-3484-2012</t>
  </si>
  <si>
    <t>Van petegem, Filip/0000-0003-2728-8537; Collins, Tony/0000-0002-4167-973X</t>
  </si>
  <si>
    <t>0907-4449</t>
  </si>
  <si>
    <t>ACTA CRYSTALLOGR D</t>
  </si>
  <si>
    <t>Acta Crystallogr. Sect. D-Biol. Crystallogr.</t>
  </si>
  <si>
    <t>SEP</t>
  </si>
  <si>
    <t>10.1107/S0907444902011666</t>
  </si>
  <si>
    <t>Biochemical Research Methods; Biochemistry &amp; Molecular Biology; Biophysics; Crystallography</t>
  </si>
  <si>
    <t>Biochemistry &amp; Molecular Biology; Biophysics; Crystallography</t>
  </si>
  <si>
    <t>587DE</t>
  </si>
  <si>
    <t>WOS:000177624600021</t>
  </si>
  <si>
    <t>Borisova, TD; Blagoveshchenskaya, NF; Moskvin, IV; Rietveld, MT; Kosch, MJ; Thidé, B</t>
  </si>
  <si>
    <t>Doppler shift simulation of scattered HF signals during the Tromso HF pumping experiment on 16 February 1996</t>
  </si>
  <si>
    <t>10th International EISCAT Workshop</t>
  </si>
  <si>
    <t>JUL 23-27, 2001</t>
  </si>
  <si>
    <t>TOKYO, JAPAN</t>
  </si>
  <si>
    <t>ionosphere; active experiments; ionospheric irregularities; radio science; ionospheric propagation</t>
  </si>
  <si>
    <t>E-REGION IRREGULARITIES; AURORAL IONOSPHERE; LATITUDES</t>
  </si>
  <si>
    <t>Comparisons between bistatic scatter measurements and simulation results during the Tromso HF pumping experiment on 16 February 1996 are made. Doppler measurements of an HF diagnostic signal scattered from the field-aligned irregularities (FAIs) in the auroral E-region were carried out on the London - Tromso - St. Petersburg path at 94 10 kHz from 2 1:00 to 22:00 UT. The scattered signals were observed both from natural and artificial ionospheric irregularities located in the vicinity of Tromso. To simulate the Doppler frequency shifts, f(d), of scattered signals, a radio channel model, named CONE, was developed. The model allows for ray tracing, group and phase paths, and Doppler frequency shift calculations. The calculated Doppler shifts were analyzed for dependence on the magnitude and direction of plasma velocities in the scattering volume. It was found that the velocity components in the north-south direction are crucial for explaining the Doppler frequency shifts of the scattered diagnostic signals. To simulate fd, real velocities obtained from the EISCAT UHF radar at an altitude of 278 km and from the digital all-sky imager during the experiment were employed. The simulation results of Doppler frequency shift variations with time are in reasonable agreement with the experimental Doppler shifts of scattered signals on the London - Tromso - St. Petersburg path.</t>
  </si>
  <si>
    <t>Arctic &amp; Antarctic Res Inst, St Petersburg 199397, Russia; Max Planck Inst Aeron, D-37191 Katlenburg Lindau, Germany; Univ Lancaster, Dept Commun Syst, Lancaster LA1 4YR, England; Swedish Inst Space Phys, Uppsala Div, SE-75121 Uppsala, Sweden</t>
  </si>
  <si>
    <t>Arctic &amp; Antarctic Research Institute; Max Planck Society; Lancaster University</t>
  </si>
  <si>
    <t>Blagoveshchenskaya, NF (corresponding author), Arctic &amp; Antarctic Res Inst, 38,Bering St, St Petersburg 199397, Russia.</t>
  </si>
  <si>
    <t>Borisova, Tatiana/AAK-7698-2020; Blagoveshchenskaya, Nataly/AAE-4093-2022; Blagoveshchenskaya, Nataly F./S-4342-2017; Thide, Bo/B-7734-2009</t>
  </si>
  <si>
    <t>Blagoveshchenskaya, Nataly/0000-0003-1752-3273; Blagoveshchenskaya, Nataly F./0000-0003-1752-3273; Kosch, Michael Jurgen/0000-0003-2846-3915; Thide, Bo/0000-0001-7086-8049; Borisova, Tatiana/0000-0003-1727-5310</t>
  </si>
  <si>
    <t>10.5194/angeo-20-1479-2002</t>
  </si>
  <si>
    <t>608TN</t>
  </si>
  <si>
    <t>WOS:000178862900019</t>
  </si>
  <si>
    <t>Walton, D</t>
  </si>
  <si>
    <t>Shaking off the past</t>
  </si>
  <si>
    <t>Walton, David/0000-0002-7103-4043</t>
  </si>
  <si>
    <t>647KW</t>
  </si>
  <si>
    <t>WOS:000181092800001</t>
  </si>
  <si>
    <t>Schmidt, A; Siegel, V; Brandt, A</t>
  </si>
  <si>
    <t>Postembryonic development of Apseudes heroae and Allotanais hirsutus (Tanaidacea, Crustacea) in Magellanic and sub-Antarctic waters</t>
  </si>
  <si>
    <t>fecundity; length-frequency distribution; life cycle; population structure; postmarsupial development</t>
  </si>
  <si>
    <t>POSTMARSUPIAL DEVELOPMENT; REPRODUCTIVE-BEHAVIOR; GROWTH; FECUNDITY; BIOLOGY; KROYER; AGE</t>
  </si>
  <si>
    <t>Apseudes heroae Sieg, 1986 (Family Apseudidae) and Allotanais hirsutus (Beddard, 1886) (Family Tanaidae) are common Tanaidacea of the southern Magellanic region. The aim of the investigation is to elucidate the postmarsupial development of these tanaid species that differ in their biogeography. Population structures are analysed from size frequency data and from different postembryonic stages of specimens collected in the Atlantic entrance of the Beagle Channel and from the Atlantic continental slope to the south-east. The population of Apseudes heroae shows three age groups, the one of Allotanais hirsutus probably at least three. Some large specimens indicate that the latter sub-Antarctic species might reach an age of several years. Both species are probably gonochoristic, and protandric hermaphroditism was not observed. The fecundity of Apseudes heroae and Allotanais hirsutus was analysed. No significant correlation could be found between cephalothorax width and egg number or number of larvae. For both species hypothetical life cycles are reconstructed. As sub-Antarctic temperatures are low and seasonality is strong in the Magellanic region, it is possible that these species are reasonably adapted in reproduction as shown in some polar species of Isopoda and Cumacea.</t>
  </si>
  <si>
    <t>Univ Hamburg, Inst Zool, D-20146 Hamburg, Germany; Univ Hamburg, Zool Museum, D-20146 Hamburg, Germany; Bundesanstalt Fischerei, D-22767 Hamburg, Germany</t>
  </si>
  <si>
    <t>University of Hamburg; University of Hamburg</t>
  </si>
  <si>
    <t>Brandt, A (corresponding author), Univ Hamburg, Inst Zool, Martin Luther King Pl 3, D-20146 Hamburg, Germany.</t>
  </si>
  <si>
    <t>abrandt@zoologie.uni-hamburg.de</t>
  </si>
  <si>
    <t>Brandt, Angelika/C-1630-2018</t>
  </si>
  <si>
    <t>10.1017/S0954102002000019</t>
  </si>
  <si>
    <t>WOS:000181092800002</t>
  </si>
  <si>
    <t>Phillips, KL; Nichols, PD; Jackson, GD</t>
  </si>
  <si>
    <t>Lipid and fatty acid composition of the mantle and digestive gland of four Southern Ocean squid species: implications for food-web studies</t>
  </si>
  <si>
    <t>diet; Gonatus antarcticus; higher predators; Moroteuthis robsoni; Sepioteuthis australis; Todarodes spp.</t>
  </si>
  <si>
    <t>DIACYL GLYCERYL ETHERS; CLASSIFICATION TREES; FORAGING ECOLOGY; SEPIA-OFFICINALIS; DIFFERENT TISSUES; STOMACH CONTENTS; LIVER LIPIDS; SIGNATURES; DIET; TOOLS</t>
  </si>
  <si>
    <t>Lipid content, lipid class and fatty acid composition of four Southern Ocean cephalopod species the myopsid Sepioteuthis australis and three oegopsids, Gonatus antarcticus, Moroteuthis robsoni and Todarodes spp. - were analysed. The lipid content of the digestive gland was consistently greater than that of the mantle, and was an order of magnitude greater in oegopsid species. The lipid class and fatty acid composition of the mantle and digestive gland also differed markedly in each species. Digestive gland lipid is likely to be of dietary origin, and large amounts of lipid in the digestive gland of oegopsids may accumulate over time. Thus the digestive gland is a rich source of fatty acid dietary tracers and may provide a history of dietary intake. However, the absolute amount of dietary lipid in the digestive gland of oegopsid species exceeds the absolute lipid content of mantle tissue. Therefore the overall lipid signature of an oegopsid may more closely resemble its prey species rather than its mantle tissue. When lipid techniques are used in dietary analysis of teuthophagous predators, squid may not be represented by a unique signature in analyses and their importance in the diets of predators may be underestimated.</t>
  </si>
  <si>
    <t>Univ Tasmania, Inst Antarctic &amp; So Ocean Studies, Hobart, Tas 7001, Australia; CSIRO, Hobart, Tas 7001, Australia; Univ Tasmania, Antarctic CRC, Hobart, Tas 7001, Australia</t>
  </si>
  <si>
    <t>Univ Tasmania, Inst Antarctic &amp; So Ocean Studies, GPO Box 252-77, Hobart, Tas 7001, Australia.</t>
  </si>
  <si>
    <t>Nichols, Peter D/C-5128-2011; Jackson, George D/AAI-7315-2021</t>
  </si>
  <si>
    <t>10.1017/S0954102002000044</t>
  </si>
  <si>
    <t>WOS:000181092800003</t>
  </si>
  <si>
    <t>Casaux, RJ; Barrera-Oro, ER</t>
  </si>
  <si>
    <t>Effect of a shore-based sampling programme on Notothenia coriiceps populations</t>
  </si>
  <si>
    <t>Antarctica; monitoring; Notothenia coriiceps; sampling effect</t>
  </si>
  <si>
    <t>SOUTH SHETLAND ISLANDS; POTTER COVE; FISH; ANTARCTICA; DIET</t>
  </si>
  <si>
    <t>The effect of an intensive sampling programme on an inshore population of Notothenia coriiceps was studied at Potter Cove, South Shetland Islands, by comparing catch data taken in successive summers of 1992/93 to 1994/95 at one specific zone (site 1) with those taken in the 1994/95 summer at two close but not previously sampled zones (sites 2 and 3). The fish were caught with trammel nets under similar. sampling conditions (depth, net measurements, bottom type). In site 1, a decline in length (TL) of the fish was observed throughout the whole period. The fish from sites 2 (mean = 32.4 cm) and 3 (mean = 31.8 cm) exhibited no significant differences in mean length. They were larger (P = 0.07) than those from site I caught in the summers of 1994/95 (mean = 28.8 cm) and 1993/94 (mean = 30.2 cm), but were similar in size to those sampled in the summer of 1992/93 (mean = 31.7 cm), just when the sampling programme started in site 1. Although alternative hypotheses to explain the results are discussed (e.g. random error, strong recruitment), it is suggested that the size variations of the fish sampled at site 1 are due to intensive sampling effort carried out throughout this study at that specific zone in Potter Cove.</t>
  </si>
  <si>
    <t>Inst Antartico Argentino, Dept Ciencias Biol, Buenos Aires, DF, Argentina; Museo Argentino Ciencias Nat Bernardino Rivadavia, Div Ictiol, Buenos Aires, DF, Argentina</t>
  </si>
  <si>
    <t>Casaux, RJ (corresponding author), Inst Antartico Argentino, Dept Ciencias Biol, Cerrito 1248,1010 AAZ, Buenos Aires, DF, Argentina.</t>
  </si>
  <si>
    <t>10.1017/S0954102002000056</t>
  </si>
  <si>
    <t>WOS:000181092800004</t>
  </si>
  <si>
    <t>Tierney, M; Hindell, MA; Goldsworthy, S</t>
  </si>
  <si>
    <t>Energy content of mesopelagic fish from Macquarie Island</t>
  </si>
  <si>
    <t>calorific value; fish; sub-Antarctic; trophodynamics</t>
  </si>
  <si>
    <t>SOUTHERN ELEPHANT SEALS; HEARD-ISLAND; SHETLAND-ISLANDS; MIROUNGA-LEONINA; MARINE RESOURCES; SEASONAL-CHANGES; FUR SEALS; PENGUINS; CONSUMPTION; SEABIRDS</t>
  </si>
  <si>
    <t>The water and calorific content of fifteen species of mesopelagic sub-Antarctic fish from Macquarie Island were determined. Mean percent water content was 69-82%. Calorific content was highly variable between species, especially in the Myctophidae, where it ranged between 22.6-59.3 kJ.g(-1) dry weight. The water and calorific content varied with size class within a species, with the smallest size classes generally having the lowest water content but highest calorific content. These values will be useful for future assessment of energetic transfer between trophic levels and energetic modelling of Southern Ocean ecosystems.</t>
  </si>
  <si>
    <t>Univ Tasmania, Sch Zool, Antarctic Wildlife Res Unit, Hobart, Tas 7001, Australia; CSIRO, Hobart, Tas 7001, Australia</t>
  </si>
  <si>
    <t>University of Tasmania; Commonwealth Scientific &amp; Industrial Research Organisation (CSIRO)</t>
  </si>
  <si>
    <t>Tierney, M (corresponding author), Australian Antarctic Div, Channel Highway, Kingston, Tas 7050, Australia.</t>
  </si>
  <si>
    <t>Hindell, Mark A/C-8368-2013; Hindell, Mark A/K-1131-2013</t>
  </si>
  <si>
    <t>Goldsworthy, Simon/0000-0003-4988-9085; Hindell, Mark/0000-0002-7823-7185</t>
  </si>
  <si>
    <t>10.1017/S0954102002000020</t>
  </si>
  <si>
    <t>WOS:000181092800005</t>
  </si>
  <si>
    <t>Hegseth, EN; Von Quillfeldt, CH</t>
  </si>
  <si>
    <t>Low phytoplankton biomass and ice algal blooms in the Weddell Sea during the ice-filled summer of 1997</t>
  </si>
  <si>
    <t>Antarctica; band assemblages; bloom dynamics; ice shelf algae; krill grazing; missing biomass</t>
  </si>
  <si>
    <t>SOUTHERN-OCEAN; ANTARCTIC PHYTOPLANKTON; PRIMARY PRODUCTIVITY; AUSTRAL SUMMER; FECAL MATERIAL; STANDING CROP; WATER MASSES; PACK-ICE; COMMUNITY; REGION</t>
  </si>
  <si>
    <t>The summer of 1997 was characterized by unusually large amounts of pack ice in the southeastern Weddell Sea, and less than 10% of the area that is commonly ice-free in summer was open. A modest phytoplankton bloom developed in the upper mixed layer in the northernmost area (72degreesS). The bloom peaked in mid-February with max chlorophyll concentrations of 1.5 mug l(-1), and integrated stocks of 55-60 mg m(-2). Autotrophic flagellates dominated the biomass (80-90% of the chlorophyll) at first, while diatoms increased relative to flagellates during the bloom. Nutrient deficits, however, indicated that a much larger biomass was produced than was observed. Freezing starting after mid-February probably terminated the bloom, resulting in a pelagic growth season limited in time (less than two months) and space. The sea ice had a distinct brown layer of algae, usually at 1-2 m depth, with average chlorophyll biomass of 10.3 mg m(-2). The ice cover exhibited a substantial amount of ridges, with ice algae growing in cavities and other structures, but with lower biomass than in the bands. Ice algae were also found growing on the lower 2 m of the ice shelf (visible at low tide). The overall growth season in the ice lasted several months, and ice algal production may have exceeded pelagic production in the Weddell Sea during the growth season of 1997. Pennate diatoms, like Fragilariopsis curta and F. cylindrus, dominated both in ice and in open water above the pycnocline, while Phaeocystis antarctica dominated in deeper layers and in crack pools. Euphausiids, particularly young stages, were frequently observed grazing on ice algae in ridges and on all sides of the floes, (confirmed by the gut content). Ice algae would thus have served as an ample food supply for the krill in the summer of 1997.</t>
  </si>
  <si>
    <t>Univ Tromso, Norwegian Coll Fishery Sci, N-9037 Tromso, Norway; Norwegian Polar Res Inst, Polar Environm Ctr, N-9296 Tromso, Norway</t>
  </si>
  <si>
    <t>UiT The Arctic University of Tromso; Norwegian Polar Institute</t>
  </si>
  <si>
    <t>Univ Tromso, Norwegian Coll Fishery Sci, N-9037 Tromso, Norway.</t>
  </si>
  <si>
    <t>10.1017/S095410200200007X</t>
  </si>
  <si>
    <t>WOS:000181092800006</t>
  </si>
  <si>
    <t>Martins, CC; Venkatesan, MI; Montone, RC</t>
  </si>
  <si>
    <t>Sterols and linear alkylbenzenes in marine sediments from Admiralty Bay, King George Island, South Shetland Islands</t>
  </si>
  <si>
    <t>Antarctica; pollution; sediments; sewage; sterols; South Shetland Islands</t>
  </si>
  <si>
    <t>POLYCHLORINATED-BIPHENYLS; SEWAGE CONTAMINATION; DAVIS-STATION; FECAL STEROLS; COPROSTANOL; ANTARCTICA; COASTAL; ENVIRONMENT; SEA; HYDROCARBONS</t>
  </si>
  <si>
    <t>Selected sterols (coprostanol, epicoprostanol, cholesterol, cholestanol), stanone (5beta-coprostanone) and linear alkylbenzenes (LABs) were measured in the surface sediments near Ferraz station sewage outfalls, in Admiralty Bay, King George Island, South Shetland Islands. during the summer of 1997/98 using GC-FID and GC-MS. Total sterol concentrations varied between 0.21 and 10.4 mug g(-1) dry sediment. Cholesterol was the major sterol at all sites, except at the sewage outfall, where coprostanol predominated. The concentration of coprostanol varied between 0.03 and 6.14 mug g(-1) dry sediment, but the majority of the samples contained levels below 0.13 mug g(-1) dry sediment. The parameters coprostanol+epicoprostanol in total sterols, coprostanol/epicoprostanol ratio versus % of cholesterol in total sterols and versus 5beta-coprostanone concentration were used to identify the sewage impacted locations in the study area. Only sites extending to 50m from the sewage outfall exhibited a sterol signal indicating sewage input. Total LABs varied from &lt; 0.60 to 11.8 ng.g(-1) dry sediment with the maximum level at the sewage outfall. Faeces from different species of seals all contained large amounts of cholesterol and some 5beta-coprostanone. Relatively low levels of coprostanol and high levels of cholesterol observed in distant sites could be attributed to natural sources such as marine mammals.</t>
  </si>
  <si>
    <t>Univ Sao Paulo, Inst Oceanog, Lab Quim Organ Marinha, BR-05508900 Sao Paulo, Brazil; Univ Calif Los Angeles, Inst Geophys &amp; Planetary Phys, Los Angeles, CA 90095 USA</t>
  </si>
  <si>
    <t>Universidade de Sao Paulo; University of California System; University of California Los Angeles</t>
  </si>
  <si>
    <t>Martins, CC (corresponding author), Univ Sao Paulo, Inst Oceanog, Lab Quim Organ Marinha, BR-05508900 Sao Paulo, Brazil.</t>
  </si>
  <si>
    <t>Montone, Rosalinda C/J-9110-2012; de Castro Martins, Cesar C/I-1086-2012</t>
  </si>
  <si>
    <t>de Castro Martins, Cesar/0000-0002-2515-5565</t>
  </si>
  <si>
    <t>10.1017/S0954102002000093</t>
  </si>
  <si>
    <t>WOS:000181092800007</t>
  </si>
  <si>
    <t>Gibson, JAE; Andersen, DT</t>
  </si>
  <si>
    <t>Physical structure of epishelf lakes of the southern Bunger Hills, East Antarctica</t>
  </si>
  <si>
    <t>Bunger Hills; climate change; epishelf; stratification; salinity; temperature</t>
  </si>
  <si>
    <t>ICE; CLIMATE; OASIS; WATER; THICKNESS</t>
  </si>
  <si>
    <t>Epishelf lakes, positioned between ice-free areas and floating ice shelves or glaciers, are unusual tidal, but largely freshwater, environments found in both the Arctic and the Antarctic. The greatest concentration of these lakes is in the Bunger Hills, East Antarctica (66degreesS, 100degreesE). We present and discuss temperature and salinity profiles for five epishelf lakes from this region, most of which show unusual properties. White Smoke Lake is fresh and cold (&lt;0.1degreesC) throughout; Lake Pol'anskogo has two basins, one fresh and cold, the other saline and warm; 'Southern' Lake is cold and saline at depth; Transkriptsii Gulf has a deep, warm saline layer; and 'Northern' Lake is relatively warm throughout. The structures of these lakes can be explained in terms of a simple model in which the isolated saline water evident in three of the lakes entered the basins through the connection to the marine waters during periods of reduced freshwater input. By dating these marine incursions, periods of reduced melt, presumably due to colder temperatures, can be determined.</t>
  </si>
  <si>
    <t>Australian Antarctic Div, Kingston, Tas 7050, Australia; NASA, Ames Res Ctr, SETI Inst, Moffett Field, CA 94035 USA</t>
  </si>
  <si>
    <t>Australian Antarctic Division; National Aeronautics &amp; Space Administration (NASA); NASA Ames Research Center</t>
  </si>
  <si>
    <t>John.gibson@csiro.au</t>
  </si>
  <si>
    <t>Andersen, Dale T/B-4816-2013</t>
  </si>
  <si>
    <t>Andersen, Dale T/0000-0001-8827-1259</t>
  </si>
  <si>
    <t>10.1017/S095410200200010X</t>
  </si>
  <si>
    <t>WOS:000181092800008</t>
  </si>
  <si>
    <t>Del Valle, RA; Montalti, D; Inbar, M</t>
  </si>
  <si>
    <t>Mid-holocene macrofossil-bearing raised marine beaches at Potter Peninsula, King George Island, South Shetland Islands</t>
  </si>
  <si>
    <t>Antarctica; fossil penguins; raised beaches; South Shetland Islands</t>
  </si>
  <si>
    <t>ANTARCTICA; MAXIMUM; LAND; SEA</t>
  </si>
  <si>
    <t>A 2.7 m thick mid-Holocene sedimentary succession composed of alluvial fan and marine beach deposits is exposed at 14.4-17.1 m above sea level (a.s.l.) on the south-eastern coast of Potter Peninsula, King George Island (South Shetland Islands, Antarctica). The raised marine beach deposits contain a subfossil assemblage that includes remains of Adelie (Pygoscelis adeliae) and gentoo (P papua) penguins, skua (Catharacta sp), seals (elephant seal Mirounga sp), and seaweed fragments. The palaeontological and palaeogeographical evidence allows us to infer that penguin rookeries were active on high cliffs of the Potter Peninsula during the marine beach sedimentation, which is dated to c. 4540-4450 reservoir-corrected C-14 yr BP on the basis of radiocarbon dating on penguin bones. The data presented in this paper are in agreement with the Holocene palaeoenvironmental chronology known from Potter Peninsula, and suggest that marine birds and seals inhabited the coastal areas of King George Island probably during a mid-Holocene period of seasonally open marine conditions, which may coincide with a cooling period around Antarctica estimated from ice core records between 8000-4000 yr BP that preceded the climate optimum in the Antarctic Peninsula (4000-3000 yr BP).</t>
  </si>
  <si>
    <t>Inst Antartico Argentino, Direcc nacl Antartico, RA-1010 Buenos Aires, DF, Argentina; Univ Haifa, Dept Geog, IL-31905 Haifa, Israel</t>
  </si>
  <si>
    <t>Instituto Antartico Argentino; University of Haifa</t>
  </si>
  <si>
    <t>Del Valle, RA (corresponding author), Inst Antartico Argentino, Direcc nacl Antartico, Cerrito 1248, RA-1010 Buenos Aires, DF, Argentina.</t>
  </si>
  <si>
    <t>Inbar, Moshe/0000-0002-4707-9508</t>
  </si>
  <si>
    <t>10.1017/S0954102002000081</t>
  </si>
  <si>
    <t>WOS:000181092800009</t>
  </si>
  <si>
    <t>Bergamasco, A; Defendi, V; Zambianchi, E; Spezie, G</t>
  </si>
  <si>
    <t>Evidence of dense water overflow on the Ross Sea shelf-break</t>
  </si>
  <si>
    <t>Ice Shelf Water; Ross Sea; shelf-slope interactions; water masses; theta/S analysis</t>
  </si>
  <si>
    <t>SOUTHERN WEDDELL SEA; ICE-SHELF; THERMOHALINE CIRCULATION; OCEAN INTERACTION; MODEL; OCEANOGRAPHY; ANTARCTICA; BENEATH; RONNE</t>
  </si>
  <si>
    <t>This paper presents the results of the analysis of hydrological data of a 5-day mesoscale experiment (53 CTD casts) conducted during the XIIIth Italian Expedition to Antarctica (1997-98 cruise) in the framework of the CLIMA (Climatic Longterm Interaction for the Mass balance in Antarctica) Project of the Italian National Programme for Antarctic Research (PNRA). The experiment site was chosen for studying the dense water overflow in relation to the shelf-break in the central Ross Sea, after a large-scale synoptic survey, aimed to detect the general hydrological characteristics of the basin. A classical theta/S analysis was carried out for better understanding of the shelf-slope connection and the interactions between the water masses of this zone: the Circumpolar Deep Water (CDW) coming from the oceanic domain and the Ice Shelf Water (ISW) spreading from the Ross Ice Shelf (RIS) edge. Our results show the evidence of an overflow of dense water, originated on the continental shelf, on the shelf-break. This supercold water signal is found on the continental slope down to 1200 m depth. The shape of this tongue of modified ISW, whose thickness reaches up to 100 m, is very narrow, suggesting that the overflow occurs in very localized areas.</t>
  </si>
  <si>
    <t>CNR, Inst Study Dynam Large Masses, I-30125 Venice, Italy; Univ Napoli Parthenope, Inst Meteorol &amp; Oceanog, I-80133 Naples, Italy</t>
  </si>
  <si>
    <t>Consiglio Nazionale delle Ricerche (CNR); Parthenope University Naples</t>
  </si>
  <si>
    <t>Bergamasco, A (corresponding author), CNR, Inst Study Dynam Large Masses, 1364 S Polo, I-30125 Venice, Italy.</t>
  </si>
  <si>
    <t>zambianchi, enrico/KGK-8209-2024</t>
  </si>
  <si>
    <t>zambianchi, enrico/0000-0001-5474-7466; Bergamasco, Alessandro/0000-0003-3138-8418</t>
  </si>
  <si>
    <t>10.1017/S0954102002000068</t>
  </si>
  <si>
    <t>WOS:000181092800010</t>
  </si>
  <si>
    <t>Gladstone, R; Bigg, GR</t>
  </si>
  <si>
    <t>Satellite tracking of icebergs in the Weddell Sea</t>
  </si>
  <si>
    <t>Coastal Current; icebergs; mass flux; SAR images; Weddell Sea</t>
  </si>
  <si>
    <t>MASS-BALANCE</t>
  </si>
  <si>
    <t>Small to medium sized icebergs (200 m to 10 km across) in two areas of the Weddell Sea were tracked using satellite-borne Synthetic Aperture Radar (SAR) from 22 January-21 February 1994 and 29 January-25 February 1992 respectively. The westward mass flux of icebergs in the Antarctic Coastal Current was estimated at the eastern entrance to the Weddell Sea as being 50-70 Gta(-1). A large contrast was found between observations over the narrow shelf here and the off-shelf area. The latter region had very much reduced iceberg density, and the bergs moved with slower and less coherent velocities compared with the fast, but narrow (10-20 km wide) flow in the Coastal Current. This region is a promising site for the monitoring of decadal trends in iceberg fluxes. The second study area in the south-western Weddell Sea showed iceberg motion consistent with non-Contemporaneous observations of tagged icebergs, with steady flow parallel to the shelf-ice edge, at significantly lower densities and speeds than in the Coastal Current but almost double that observed off-shelf in the eastern Weddell Sea. We also suggest that shipboard observations of icebergs need careful analysis to avoid their over-estimating true iceberg concentrations by a substantial amount.</t>
  </si>
  <si>
    <t>Univ E Anglia, Sch Environm Sci, Norwich NR4 7TJ, Norfolk, England</t>
  </si>
  <si>
    <t>Univ E Anglia, Sch Environm Sci, Norwich NR4 7TJ, Norfolk, England.</t>
  </si>
  <si>
    <t>Bigg, Grant/GXW-2219-2022; Gladstone, Rupert/C-1086-2013</t>
  </si>
  <si>
    <t>Gladstone, Rupert/0000-0002-1582-3857</t>
  </si>
  <si>
    <t>10.1017/S0954102002000032</t>
  </si>
  <si>
    <t>WOS:000181092800011</t>
  </si>
  <si>
    <t>Massana, R; Guillou, L; Díez, B; Pedrós-Alió, C</t>
  </si>
  <si>
    <t>Unveiling the organisms behind novel eukaryotic ribosomal DNA sequences from the ocean</t>
  </si>
  <si>
    <t>GENETIC DIVERSITY; RDNA SEQUENCES; SEA; PICOPLANKTON; ECOLOGY; IDENTIFICATION; PROTISTS; SAMPLES; PROBES; WATER</t>
  </si>
  <si>
    <t>Despite the fact that the smallest eukaryotes (cells less than 5 mum in diameter) play key roles in marine food webs, particularly in open oligotrophic areas, the study of their in situ diversity started just one year ago. Perhaps the most remarkable finding of the most recent studies has been the discovery of completely new phylogenetic lineages, such as novel clades belonging to the stramenopile and alveolate phyla. The two new groups account for a significant fraction of clones in genetic libraries from North Atlantic, equatorial Pacific, Antarctic, and Mediterranean Sea waters. However, the identities and ecological relevance of these organisms remain unknown. Here we investigate the phylogenetic relationships, morphology, in situ abundance, and ecological role of novel stramenopiles. They form at least eight independent clades within the stramenopile basal branches, indicating a large phylogenetic diversity within the group. Two lineages were visualized and enumerated in field samples and enrichments by fluorescent in situ hybridization using specific rRNA-targeted oligonucleotide probes. The targeted organisms were 2- to 3-mum-diameter, round-shaped, nonpigmented flagellates. Further, they were found to be bacterivorous. One lineage accounted for up to 46% (average during an annual cycle, 19%) of heterotrophic flagellates in a coastal environment, providing evidence that novel stramenopiles are important and unrecognized components of the total stock of bacterial grazers.</t>
  </si>
  <si>
    <t>CSIC, CMIMA, Inst Ciencies Mar, Dept Biol Marina &amp; Oceanog, E-08003 Barcelona, Catalonia, Spain</t>
  </si>
  <si>
    <t>Consejo Superior de Investigaciones Cientificas (CSIC); CSIC - Centro Mediterraneo de Investigaciones Marinas y Ambientales (CMIMA); CSIC - Instituto de Ciencias del Mar (ICM)</t>
  </si>
  <si>
    <t>CSIC, CMIMA, Inst Ciencies Mar, Dept Biol Marina &amp; Oceanog, Passeig Maritim Barceloneta 37-49, E-08003 Barcelona, Catalonia, Spain.</t>
  </si>
  <si>
    <t>ramonm@icm.csic.es</t>
  </si>
  <si>
    <t>Díez, Beatriz/AAG-2244-2021; Massana, Ramon/F-4205-2016; Pedros-Alio, Carlos/H-1222-2011</t>
  </si>
  <si>
    <t>Díez, Beatriz/0000-0002-9371-8083; Guillou, Laure/0000-0003-1032-7958; Massana, Ramon/0000-0001-9172-5418; Pedros-Alio, Carlos/0000-0003-1009-4277</t>
  </si>
  <si>
    <t>10.1128/AEM.68.9.4554-4558.2002</t>
  </si>
  <si>
    <t>588TX</t>
  </si>
  <si>
    <t>WOS:000177718000052</t>
  </si>
  <si>
    <t>Agawin, NSR; Agustí, S; Duarte, CM</t>
  </si>
  <si>
    <t>Abundance of Antarctic picophytoplankton and their response to light and nutrient manipulation</t>
  </si>
  <si>
    <t>picophytoplankton; Antarctica; light; nutrient; mesocosms</t>
  </si>
  <si>
    <t>PHYTOPLANKTON BIOMASS; COMMUNITY STRUCTURE; PICOPLANKTON; PHOTOSYNTHESIS; SYNECHOCOCCUS; CYANOBACTERIA; CHLOROPHYLL; WATERS; CARBON; IRON</t>
  </si>
  <si>
    <t>The response of Antarctic picophytoplankton to experimental light and nutrient manipulation was tested, in a large-scale mesocosm experiment in an iron-rich coastal location in the Bransfield Strait (Johnson Cove) during the austral summer of 2000. The experiment consisted of 8 mesocosm units (25 m(3)), shaded with screens to provide a light gradient (target irradiance 100, 50, 25 and 10 % of the ambient light field). A set of 4 mesocosms encompassing the different light treatments was initially run with the ambient nutrient concentrations and in the remaining 4 mesocosms, ammonium (NH4Cl) was added together with phosphate (KH2PO4) and silicate (Na2SiF6) for the first 11 d of the experiment (Phase I). A second manipulation of light and nutrient (Phase II) was done to confirm the results obtained on Day 16 of the experiment, when the mesocosms shaded to 25 % of the ambient light were exposed to full ambient light, and ammonium, was added to both of the mesocosms already receiving 100% ambient light. The importance of light availability was evident in the increased abundance of picophytoplankton with increased irradiance, the response being non linear, with the abundance at full ambient irradiance being comparable, or lower, than that at 50 % of the ambient irradiance. There was, in addition, an interaction between light availability and nutrient supply as evidenced by the increased picophytoplankton abundance during the early part of the experiment, with increased nutrient availability in mesocosms exposed to 50 and 100% ambient light, and not in those shaded to 10 and 25 % ambient light. The response of photosynthesis to irradiance (P-I curves) showed a strong response to nutrient additions, with extremely high specific photosynthesis rates in the mesocosm with increased nutrient availability and exposed to full ambient light. The response was close to the theoretical maximum possible and provides ample evidence that nutrient additions, particularly ammonium, contribute to the optimum photosynthesis by picophytoplankton in the iron-rich Antarctic coastal waters studied here.</t>
  </si>
  <si>
    <t>CSIC, UIB, IMEDEA, Inst Mediterraneo Estudios Avanzados, Mallorca 07190, Spain</t>
  </si>
  <si>
    <t>Consejo Superior de Investigaciones Cientificas (CSIC); ATTITUS Educacao; Universitat de les Illes Balears</t>
  </si>
  <si>
    <t>Mem Univ Newfoundland, Ctr Ocean Sci, St John, NF A1C 5S7, Canada.</t>
  </si>
  <si>
    <t>nagawin@mun.ca</t>
  </si>
  <si>
    <t>Agusti, Susana/H-8421-2012; Duarte, Carlos M/A-7670-2013; Duarte Quesada, Carlos Manuel/ABD-6208-2021; Agusti, Susana/G-2864-2017; Agawin, Nona Sheila/I-3168-2015</t>
  </si>
  <si>
    <t>Duarte, Carlos M/0000-0002-1213-1361; Agusti, Susana/0000-0003-0536-7293; Agawin, Nona Sheila/0000-0001-5951-360X</t>
  </si>
  <si>
    <t>10.3354/ame029161</t>
  </si>
  <si>
    <t>600NU</t>
  </si>
  <si>
    <t>WOS:000178397900005</t>
  </si>
  <si>
    <t>Hauser, A; Lythe, M; Wendler, G</t>
  </si>
  <si>
    <t>Sea-ice conditions in the Ross Sea during spring 1996 as observed on SAR and AVHRR imagery</t>
  </si>
  <si>
    <t>ATMOSPHERE-OCEAN</t>
  </si>
  <si>
    <t>TERRA-NOVA BAY; THICKNESS DISTRIBUTION; COASTAL POLYNYAS; SEGMENTATION; ANTARCTICA; LAND; SIZE; AREA</t>
  </si>
  <si>
    <t>The structure and properties of the sea-ice field in the western Ross Sea during the spring of 1996 are evaluated using data from the ERS-2 Synthetic Aperture Radar (SAR) and the Advanced Very High Resolution Radiometer (AVHRR) sensors. A multispectral classification method enabled separation of six ice types including fast ice, new ice, smooth first-year ice, rough first-year ice, thin new ice/wind roughened open water and glacial ice. In Terra Nova Bay it was observed that the size of the recurring polynya depended strongly on the strength of the consistent offshore winds arising from the strong katabatic wind flow down the Priestley and Reeves Glaciers. It appears that the presence and size of this feature is more dependent on atmospheric than on oceanographic forcing. The Terra Nova Bay Polynya is frequently not ice free, but covered, at least in part, by thin, new sea ice. During katabatic events, rows of new ice, formed in response to Langmuir circulations, are observed oriented perpendicular to the coastline. These structures are swept downstream where, under less turbulent conditions, they consolidate to form pancake ice and thicker ice floes. Elsewhere over the continental shelf sea-ice conditions changed little in over a month, indicating that much of the ice in this area is landfast.</t>
  </si>
  <si>
    <t>Univ Bern, Dept Geog, Remote Sensing Res Grp, CH-3012 Bern, Switzerland; British Antarctic Survey, Cambridge CB3 0ET, England; Int Ctr Antarctic Informat &amp; Res, Christchurch, New Zealand</t>
  </si>
  <si>
    <t>University of Bern; UK Research &amp; Innovation (UKRI); Natural Environment Research Council (NERC); NERC British Antarctic Survey</t>
  </si>
  <si>
    <t>Univ Alaska, Inst Geophys, 903 Koyukuk Dr,POB 757320, Fairbanks, AK 99775 USA.</t>
  </si>
  <si>
    <t>gerd@gi.alska.edu</t>
  </si>
  <si>
    <t>0705-5900</t>
  </si>
  <si>
    <t>1480-9214</t>
  </si>
  <si>
    <t>ATMOS OCEAN</t>
  </si>
  <si>
    <t>Atmos.-Ocean</t>
  </si>
  <si>
    <t>10.3137/ao.400301</t>
  </si>
  <si>
    <t>587GG</t>
  </si>
  <si>
    <t>WOS:000177631700001</t>
  </si>
  <si>
    <t>Dobretsov, SV; Qian, PY</t>
  </si>
  <si>
    <t>Effect of bacteria associated with the green alga Ulva reticulata on marine micro- and macrofouling</t>
  </si>
  <si>
    <t>BIOFOULING</t>
  </si>
  <si>
    <t>biofouling; epibiotic bacteria; bicifilm; larval settlement; larval metamorphosis; Ulva reticulata</t>
  </si>
  <si>
    <t>POLYCHAETE HYDROIDS-ELEGANS; ANTARCTIC SOFT CORALS; SECONDARY METABOLITES; LARVAL SETTLEMENT; BALANUS-AMPHITRITE; DELISEA-PULCHRA; PSEUDOALTEROMONAS-TUNICATA; SIGNAL-TRANSDUCTION; CIONA-INTESTINALIS; CHEMICAL DEFENSES</t>
  </si>
  <si>
    <t>The green alga Ulva reticulata (Forsskal) is often free from biofouling in Hong Kong waters. An early study indicated that bioactive substances from this alga inhibit settlement of the polychaete Hydroides elegans (Haswell). It is also predicted that epibiotic bacteria protect this alga from micro- and macrofouling. In this study, bacterial strains from the surface of U. reticulata were isolated and their inhibitive activities on micro- and macrofouling assayed. The strains were identified by 16S rRNA analysis as belonging to the genera Alteromonas, Pseudoalteromonas and Vibrio. There was no significant effect of these strains or their extracts (aqueous and ethanol) on the growth of five Vibrio strains isolated from natural biofilm. Two bacterial strains (Alteromonas sp. and Vibrio sp. 3) were non-toxic to the benthic diatom Nitzschia paleacea (Grunow) while the other five strains caused a low level of mortality No one bacterial strain was toxic to the larvae of H. elegans. Aqueous extract of one of the isolated bacterial species, i.e. Vibrio sp. 2, significantly (p &lt; 0.00001) inhibited the settlement and metamorphosis of H. elegans larvae. The putative antifouling compounds have a molecular weight of &gt; 100 kD. On the other hand, biofilm of Pseudoalteromonas sp. 2 and aqueous extract of Vibrio sp. 2 suppressed the settlement of larvae induced by. 3-isobutyl-1-methylxanthine (IBMX). Other epibiotic bacteria and their extracts had neither inhibitive nor inductive effects on larval settlement of H. elegans. The results indicate that the antifouling mechanism of U. reticulata may be dependent, not only on materials from the macroalga itself but also on the epibiotic bacteria on the algal surface.</t>
  </si>
  <si>
    <t>Hong Kong Univ Sci &amp; Technol, Dept Biol, Kowloon, Hong Kong, Peoples R China</t>
  </si>
  <si>
    <t>Hong Kong University of Science &amp; Technology</t>
  </si>
  <si>
    <t>Dobretsov, Sergey/C-9733-2012</t>
  </si>
  <si>
    <t>Dobretsov, Sergey/0000-0002-1769-6388; Qian, Pei-Yuan/0000-0003-4074-9078</t>
  </si>
  <si>
    <t>0892-7014</t>
  </si>
  <si>
    <t>Biofouling</t>
  </si>
  <si>
    <t>10.1080/08927010290013026</t>
  </si>
  <si>
    <t>Biotechnology &amp; Applied Microbiology; Marine &amp; Freshwater Biology</t>
  </si>
  <si>
    <t>573DX</t>
  </si>
  <si>
    <t>WOS:000176815000005</t>
  </si>
  <si>
    <t>O'Dor, RK; Adamo, S; Aitken, JP; Andrade, Y; Finn, J; Hanlon, RT; Jackson, GD</t>
  </si>
  <si>
    <t>Currents as environmental constraints on the behavior, energetics and distribution of squid and cuttlefish</t>
  </si>
  <si>
    <t>BULLETIN OF MARINE SCIENCE</t>
  </si>
  <si>
    <t>Cephalopod-International-Advisory-Council Symposium and Workshops (CIAC 2000)</t>
  </si>
  <si>
    <t>JUL 03-07, 2000</t>
  </si>
  <si>
    <t>UNIV ABERDEEN, ABERDEEN, SCOTLAND</t>
  </si>
  <si>
    <t>UNIV ABERDEEN</t>
  </si>
  <si>
    <t>FISH; CEPHALOPODA; REEF; PERFORMANCE; TEUTHOIDEA; EFFICIENCY; METABOLISM; TRANSPORT; TRACKING; NAUTILUS</t>
  </si>
  <si>
    <t>The energy available in an ecosystem can often be smoothly matched to physiological requirements through behavioral changes. Tracking projects in Spencer Gulf and Great Barrier Reef (GBR) Lagoon, Australia, compared the energetics of tropical/temperate squids (Sepioteuthis lessoniana and Sepioteuthis australis) and cuttlefish (Sepia apama) using radio-acoustic positioning telemetry (RAPT). Distinctive activity patterns indicated that tidal currents were key environmental influences, as important as temperature, diel cycles and foraging. Continuous position and mantle pressure data from nature correlated with visually and video documented behaviors. Cuttlefish were diurnal, relatively inactive and spent their time within benthic boundary layers, hovering near or under structures. Squid, in contrast, were continuously active, seeking out particular current regimes to conserve energy using slope soaring tactics previously seen in Loligoforbesi. These behaviors illustrate an energetic tradeoff between neutral and negative buoyancy for access to prey in currents. In the high current GBR site, squid concentrated in the boundary layers of floating 'squid aggregating devices' (SADs). Rheotactic behavior has been well characterized for fishes in streams and some marine systems, and is briefly reviewed in the context of cephalopod examples to define rheological guilds. Fast-growing, high-energy cephalopods provide a powerful paradigm for assessing energy transfers in ecosystems.</t>
  </si>
  <si>
    <t>Dalhousie Univ, Dept Biol, Halifax, NS B3H 4J1, Canada; Univ Tasmania, Inst Antarctic &amp; So Ocean Studies, Hobart, Tas 7001, Australia; Woods Hole Oceanog Inst, Biol Marine Lab, Marine Resource ctr, Woods Hole, MA 02543 USA</t>
  </si>
  <si>
    <t>Dalhousie University; University of Tasmania; Woods Hole Oceanographic Institution; Marine Biological Laboratory - Woods Hole</t>
  </si>
  <si>
    <t>CORE, Ctr Marine Life, Suite 800,1755 Massachussetts Ave NW, Washington, DC 20036 USA.</t>
  </si>
  <si>
    <t>rodor@coreocean.org</t>
  </si>
  <si>
    <t>Adamo, Shelley/HOC-6008-2023; Hanlon, Roger T/Q-8687-2016; Jackson, George D/AAI-7315-2021</t>
  </si>
  <si>
    <t>Adamo, Shelley/0000-0002-5973-571X</t>
  </si>
  <si>
    <t>ROSENSTIEL SCH MAR ATMOS SCI</t>
  </si>
  <si>
    <t>MIAMI</t>
  </si>
  <si>
    <t>4600 RICKENBACKER CAUSEWAY, MIAMI, FL 33149 USA</t>
  </si>
  <si>
    <t>0007-4977</t>
  </si>
  <si>
    <t>1553-6955</t>
  </si>
  <si>
    <t>B MAR SCI</t>
  </si>
  <si>
    <t>Bull. Mar. Sci.</t>
  </si>
  <si>
    <t>677BT</t>
  </si>
  <si>
    <t>WOS:000182787600004</t>
  </si>
  <si>
    <t>Yau, C; Allcock, AL; Daly, HI; Collins, MA</t>
  </si>
  <si>
    <t>Distribution of Pareledone spp. (Octopodidae: Eledoninae) around South Georgia</t>
  </si>
  <si>
    <t>Cephalopod International Advisory Council Symposium and Workshops (CIAC 2000)</t>
  </si>
  <si>
    <t>Small benthic octopodids of the genus Pareledone are commonly found around the shelf area of the sub-Antarctic island South Georgia but little is known about their biology. During three consecutive groundfish surveys in January-February 1994, September 1997 and January 2000, a total of 894 Pareledone spp. were caught in demersal trawl samples at depths of 107-440 m. Pareledone turqueti was the more abundant species and was found across the entire survey area around Shag Rocks and South Georgia, whereas P polymorpha was absent from the Shag Rocks area in 1994 and only single specimens were obtained in the subsequent surveys. In addition, five specimens of the rare octopodid Thaumeledone gunteri were caught from a deeper station (&gt;350 in depth). The geographic and bathymetric distributions of these three species are discussed as is their reproductive biology.</t>
  </si>
  <si>
    <t>Collins, Martin A/J-8560-2017; Allcock, Louise/A-7359-2012; , Martin/ABE-6728-2020</t>
  </si>
  <si>
    <t>Allcock, Louise/0000-0002-4806-0040; , Martin/0000-0001-7132-8650</t>
  </si>
  <si>
    <t>WOS:000182787600028</t>
  </si>
  <si>
    <t>Lynnes, AS; Rodhouse, PG</t>
  </si>
  <si>
    <t>A big mouthful for predators:: The largest recorded specimen of Kondakovia longimana (Cephalopoda: Onychoteuthidae)</t>
  </si>
  <si>
    <t>ALBATROSS DIOMEDEA-EXULANS; SOUTHERN-OCEAN; INDIAN-OCEAN; SQUID; INFORMATION; ANTARCTICA; FILIPPOVA; STOMACH; DIET; PREY</t>
  </si>
  <si>
    <t>Lynnes, AS (corresponding author), British Antarctic Survey, NERC, High Cross,Madingley Rd, Cambridge CB3 0ET, England.</t>
  </si>
  <si>
    <t>WOS:000182787600035</t>
  </si>
  <si>
    <t>Xavier, JC; Rodhouse, PG; Croxall, JR</t>
  </si>
  <si>
    <t>Unusual occurrence of Illex argentinus (Cephalopoda: Ommastrephidae) in the diet of albatrosses breeding at Bird Island, South Georgia</t>
  </si>
  <si>
    <t>ANTARCTIC POLAR FRONT; PREY; ATLANTIC; OCEAN</t>
  </si>
  <si>
    <t>Xavier, JC (corresponding author), British Antarctic Survey, NERC, High Cross,Madingley Rd, Cambridge CB3 0ET, England.</t>
  </si>
  <si>
    <t>Xavier, José/KFB-6739-2024</t>
  </si>
  <si>
    <t>/0000-0002-9621-6660</t>
  </si>
  <si>
    <t>WOS:000182787600040</t>
  </si>
  <si>
    <t>Härkönen, T; Harding, KC; Heide-Jorgensen, MP</t>
  </si>
  <si>
    <t>Rates of increase in age-structured populations:: a lesson from the European harbour seals</t>
  </si>
  <si>
    <t>ANTARCTIC FUR SEALS; PHOCA-VITULINA; KATTEGAT-SKAGERRAK; HALICHOERUS-GRYPUS; HARP SEALS; WADDEN SEA; GROWTH; DYNAMICS; FLUCTUATIONS; PREVALENCE</t>
  </si>
  <si>
    <t>Behavioural differences among population segments coupled with the transient dynamics of perturbed population structures lead to severely biased estimates of the intrinsic rates of increase in natural populations. This phenomenon is expected to occur in most populations that are structured by age, sex, state, or rank. The 1988 epizootic in European harbour seals (Phoca vitulina) perturbed the population composition radically. Detailed documentation of mass mortality, 20 years of population surveys, and data on age- and sex-specific behaviour were used to quantify biases in the observed rate of increase (lambda(obs.)), which in many areas substantially exceeded the maximum rate of increase. This is serious, since lambda(obs.) is a key parameter, for example, in estimating potential biological removal or modelling population dynamics. For populations where the underlying age and sex composition is unknown, we suggest that data on fecundity and survival rates be used to find the upper theoretical rate of population increase. We found that the intrinsic rates of increase (lambda(1)) in populations of true seals with even sex ratios and stable age structures cannot exceed 13% per year (lambda(1max.) = 1.13). Frequently reported larger values are indicative of nonstable population structures or populations affected by migrations.</t>
  </si>
  <si>
    <t>Swedish Museum Nat Hist, S-44273 Karna, Sweden; Univ Gothenburg, Dept Marine Ecol, S-40530 Gothenburg, Sweden; Greenland Inst Nat Resources, DK-3900 Nuuk, Greenland</t>
  </si>
  <si>
    <t>Swedish Museum of Natural History; University of Gothenburg; Greenland Institute of Natural Resources</t>
  </si>
  <si>
    <t>tero.karin.h@swipnet.se</t>
  </si>
  <si>
    <t>Heide-Jørgensen, Mads Peter/F-6464-2011; Harding, Karin C/F-9957-2013</t>
  </si>
  <si>
    <t>Harding, Karin/0000-0003-1527-0903</t>
  </si>
  <si>
    <t>10.1139/Z02-141</t>
  </si>
  <si>
    <t>607YC</t>
  </si>
  <si>
    <t>WOS:000178817500002</t>
  </si>
  <si>
    <t>Fischer, R; Weller, R; Jacobi, HW; Ballschmiter, K</t>
  </si>
  <si>
    <t>Levels and pattern of volatile organic nitrates and halocarbons in the air at Neumayer Station (70°S), Antarctic</t>
  </si>
  <si>
    <t>alkyl mononitrates; methyl nitrate; hydroxy alkyl nitrates; alkyl dinitrates; air; antarctica; thermal desorption; capillary gas chromatography; baseline levels; long-range transport</t>
  </si>
  <si>
    <t>OBSERVATORY PHOTOCHEMISTRY EXPERIMENT; ABSORPTION CROSS-SECTIONS; SOUTH ATLANTIC AIR; ALKYL NITRATES; METHYL NITRATE; PEROXYACETYL NITRATE; RURAL SITE; CHEMISTRY; HYDROCARBONS; OCEAN</t>
  </si>
  <si>
    <t>Levels and patterns of C1-C4/C9 organic nitrates were measured for the first time in Antarctica. The sampling was done by adsorptive enrichment on Tenax TA followed by thermodesorption cold-trap high resolution capillary gas chromatography with electron capture detection. 2-70 1 air on-column have been analyzed this way. C1-C9 alkyl mononitrates, C2-C4 alkyl dinitrates, C2-C4 hydroxy alkyl nitrates, and halocarbons could be identified in air samples collected near the German Neumayer Research Station, Antarctica, in February 1999. Volatile biogenic and anthropogenic halocarbons were used to assess the origin of the air parcels analyzed. The average concentration measured for SigmaC2-C6 alkyl nitrates was in the range of 9.2 +/- 1.8 ppt(v), while the sum of the mixing ratios of six C2-C4 hydroxy alkyl nitrates was in the range of 1.1 +/- 0.2 ppt(v). Moreover, C2-C4 alkyl dinitrates were found at levels near the detection limit of 0.1-0.5 ppt(v). The concentrations of organic nitrates found in Antarctic air represent ultimate baseline levels due to chemical and physical loss processes during long-range transport in the air. The South Atlantic and the Antarctic Ocean as a general secondary source for organic nitrates in terms of an air/sea exchange equilibrium has to be evaluated yet, but it seems logical. Our results confirm the common assumption that there are no biogenic marine sources of C2-C9 organonitrates. We have found a level of &gt;80 ppt(v) for methyl nitrate. This level if it can be confirmed in a systematic survey requires a strong biogenic source of methyl nitrate in the Antarctic Ocean. (C) 2002 Elsevier Science Ltd. All rights reserved.</t>
  </si>
  <si>
    <t>Univ Ulm, Dept Analyt &amp; Environm Chem, D-89081 Ulm, Germany; Alfred Wegener Inst Polar &amp; Marine Res, D-27570 Bremerhaven, Germany</t>
  </si>
  <si>
    <t>Ulm University; Helmholtz Association; Alfred Wegener Institute, Helmholtz Centre for Polar &amp; Marine Research</t>
  </si>
  <si>
    <t>Ballschmiter, K (corresponding author), Univ Ulm, Dept Analyt &amp; Environm Chem, Albert Einstein Allee 11, D-89081 Ulm, Germany.</t>
  </si>
  <si>
    <t>Jacobi, Hans-Werner/0000-0003-2230-3136</t>
  </si>
  <si>
    <t>PII S0045-6535(02)00110-8</t>
  </si>
  <si>
    <t>10.1016/S0045-6535(02)00110-8</t>
  </si>
  <si>
    <t>584HY</t>
  </si>
  <si>
    <t>WOS:000177462200011</t>
  </si>
  <si>
    <t>Liu, XF; Lao, WJ; Bi, XH; Xu, XB; Zhao, JM</t>
  </si>
  <si>
    <t>Determination of organochlorine pesticides in ABALONE samples from antarctic</t>
  </si>
  <si>
    <t>CHINESE JOURNAL OF ANALYTICAL CHEMISTRY</t>
  </si>
  <si>
    <t>Chinese</t>
  </si>
  <si>
    <t>organochlorine pesticides; ABALONE; antarctic</t>
  </si>
  <si>
    <t>Concentrations of benzene hexachlorides (HCHs) and p,p'-dichlorodiphenyl trichloroethanes (DDTs) were determined in the ABALONE samples of Antarctic collected from six sites around Chinese Antarctic Great Wall Station and one site from another country's sewage outfall. The results showed that concentrations HCHs and DDTs in the ABALONE were in the ranges of not-detected to 1.87 ng/g and not-detected to 6.61 ng/g (dry weight) respectively. Recovery of organochlorine pesticides in the samples was 46% similar to 75%.</t>
  </si>
  <si>
    <t>Chinese Acad Sci, Ecoenvironm Sci Res Ctr, Beijing 100085, Peoples R China; Beijing Normal Univ, Inst Environm Sci, Beijing 100875, Peoples R China</t>
  </si>
  <si>
    <t>Chinese Academy of Sciences; Research Center for Eco-Environmental Sciences (RCEES); Beijing Normal University</t>
  </si>
  <si>
    <t>Xu, XB (corresponding author), Chinese Acad Sci, Ecoenvironm Sci Res Ctr, POB 934, Beijing 100085, Peoples R China.</t>
  </si>
  <si>
    <t>Lao, Wenjian/A-8040-2010</t>
  </si>
  <si>
    <t>0253-3820</t>
  </si>
  <si>
    <t>CHINESE J ANAL CHEM</t>
  </si>
  <si>
    <t>Chin. J. Anal. Chem.</t>
  </si>
  <si>
    <t>600FK</t>
  </si>
  <si>
    <t>WOS:000178379800003</t>
  </si>
  <si>
    <t>Zhang, MJ; Li, ZQ; Xiao, CD; Ren, JW; Qin, DH; Kang, JC; Li, J</t>
  </si>
  <si>
    <t>Decreasing trend of temperature in Princess Elizabeth Land, Antarctica in the past 150 years</t>
  </si>
  <si>
    <t>CHINESE SCIENCE BULLETIN</t>
  </si>
  <si>
    <t>Antarctica; firn core; decline of temperature</t>
  </si>
  <si>
    <t>DRONNING-MAUD-LAND; ICE-SHEET; FIRN-CORE; ACCUMULATION; ISOTOPE</t>
  </si>
  <si>
    <t>A 50-m firn core drilled in Princess Elizabeth Land, Antarctica, during the 1996/1997 Chinese First Antarctic Inland Expedition, has been measured for delta(18)O and major ions. Based on the high quality of the seasonal variations of major ions, the firn core was dated with errors within +/-3 years. The features of the temperature change in the past 150 years in the investigated region have first been studied based on the oxygen isotope in the upper 32.93 m of the firn core. Results show that the temperature decreased nearly by 2degreesC in Princess Elizabeth Land in the past 150 years. On the background of the global, especially the Southern Hemispheric warming in the past 150 years, a temperature decline of 2degreesC in Princess Elizabeth Land likely reflects the impacts of the unique Southern Hemisphere atmospheric circulation, the Antarctic Circumpolar Wave (ACW) and the special terrain (such as the large drainage basins) on the coastal regions of Antarctica.</t>
  </si>
  <si>
    <t>Chinese Acad Sci, State Key Lab Frozen Soil Engn, Cold &amp; Arid Reg Environm &amp; Engn Res Inst, Lanzhou 730000, Peoples R China; Chinese Inst Polar Res, Shanghai 200129, Peoples R China; Antarctic Cooperat Res Ctr, Hobart, Tas 7001, Australia; Australian Antarctic Div, Hobart, Tas 7001, Australia</t>
  </si>
  <si>
    <t>Chinese Academy of Sciences; Cold &amp; Arid Regions Environmental &amp; Engineering Research Institute, CAS; Australian Antarctic Division</t>
  </si>
  <si>
    <t>Zhang, MJ (corresponding author), Chinese Acad Sci, State Key Lab Frozen Soil Engn, Cold &amp; Arid Reg Environm &amp; Engn Res Inst, Lanzhou 730000, Peoples R China.</t>
  </si>
  <si>
    <t>1001-6538</t>
  </si>
  <si>
    <t>CHINESE SCI BULL</t>
  </si>
  <si>
    <t>Chin. Sci. Bull.</t>
  </si>
  <si>
    <t>10.1360/02tb9325</t>
  </si>
  <si>
    <t>587QK</t>
  </si>
  <si>
    <t>WOS:000177653300015</t>
  </si>
  <si>
    <t>Montero, O; Sobrino, C; Parés, G; Lubián, LM</t>
  </si>
  <si>
    <t>Photoinhibition and recovery after selective short-term exposure to solar radiation of five chlorophyll c-containing marine microalgae</t>
  </si>
  <si>
    <t>CIENCIAS MARINAS</t>
  </si>
  <si>
    <t>marine microalgae; ultraviolet radiation; photosynthesis; photoinhibition; chlorophyll fluorescence</t>
  </si>
  <si>
    <t>ULTRAVIOLET-B RADIATION; ANTARCTIC CYANOBACTERIA; UV-RADIATION; PHYTOPLANKTON; INHIBITION; PHOTOSYNTHESIS; ECOSYSTEMS; GROWTH; DAMAGE</t>
  </si>
  <si>
    <t>The differential sensitivity of five chlorophyll c-containing marine microalgae to different components of solar radiation, e.g. photosynthetic active radiation (PAR), ultraviolet-A (UV-A) and ultraviolet-B (UV-B), was investigated in an exclusion experiment involving exposure to PAR, PAR+ UV-A and PAR+ UV-A+UV-B (P-, PA- and PAB-treatment, respectively) for 20 min and subsequent recovery for up to 24 h in dim light. The decrease in the variable to maximal chlorophyll fluorescence ratio (F-v/F-m) was used as indicator of photoinhibition. Changes in photosynthetic oxygen production, cell densities and pigment contents were also ascertained. The ratio F-v/F-m decreased in all the algae after exposure, but differences were found between the algae and the treatments. In relation to the inhibition extent, Chaetoceros sp. was the least affected alga in each treatment, while Phaeodactylum tricornutum was the most sensitive. Data of F-v/F-m during recovery fitted well to a sigmoid exponential function, and calculated constants were used to quantify the particular recovery rate of each alga. In general, recovery time did not show a direct relationship with the extent of inhibition. The highest recovery rate was shown by P. tricornutum cells exposed to only PAR, and the lowest by Isochrysis galbana cells exposed to PAB. There were no losses of cell density at the end of the recovery period in relation to the initial cell density in any of the algae. Photosynthetic oxygen production dropped in the five algae in all treatments and showed a similar evolution pattern to F-v/F-m during recovery, except for P. tricornutum and Amphidinium sp. Results of this study point out that capacity for photosynthesis inhibition is specific for each alga and, consequently, it should be taken into consideration for a reliable assessment of differential sensitivity to ultraviolet radiation among diverse marine phytoplanktonic species.</t>
  </si>
  <si>
    <t>CSIC, Inst Ciencias Marinas Andalucia, Cadiz 11510, Spain</t>
  </si>
  <si>
    <t>Consejo Superior de Investigaciones Cientificas (CSIC); CSIC - Instituto de Ciencias Marinas de Andalucia (ICMAN); CSIC - Centro Mediterraneo de Investigaciones Marinas y Ambientales (CMIMA); CSIC - Instituto de Ciencias del Mar (ICM)</t>
  </si>
  <si>
    <t>Montero, O (corresponding author), CSIC, Inst Ciencias Marinas Andalucia, Avda Republ Saharaui S-N, Cadiz 11510, Spain.</t>
  </si>
  <si>
    <t>Montero, Olimpio/L-8263-2014; Sobrino, Cristina/J-3534-2012</t>
  </si>
  <si>
    <t>Montero, Olimpio/0000-0002-0241-8756; Sobrino, Cristina/0000-0003-0431-1220</t>
  </si>
  <si>
    <t>INSTITUTO INVESTIGACIONES OCEANOLOGICAS, U A B C</t>
  </si>
  <si>
    <t>BAJA CALIFORNIA</t>
  </si>
  <si>
    <t>APARTADO POSTAL 423, ENSENADA, BAJA CALIFORNIA 22800, MEXICO</t>
  </si>
  <si>
    <t>0185-3880</t>
  </si>
  <si>
    <t>CIENC MAR</t>
  </si>
  <si>
    <t>Ceinc. Mar.</t>
  </si>
  <si>
    <t>591UD</t>
  </si>
  <si>
    <t>WOS:000177897900001</t>
  </si>
  <si>
    <t>Sex ratios in the population of Thysanoessa raschii (M. Sars, 1864) (Euphausiacea) in the Barents Sea (with some notes on thesex ratios in the order Euphausiacea)</t>
  </si>
  <si>
    <t>DAYTIME SURFACE SWARMS; WARM OCEAN YEARS; MEGANYCTIPHANES-NORVEGICA; INTERANNUAL VARIATIONS; ANTARCTIC KRILL; COASTAL WATERS; BARKLEY SOUND; NORTH-SEA; CRUSTACEA; BIOLOGY</t>
  </si>
  <si>
    <t>The seasonal and interannual variability of sex ratios (SR) of the Barents Sea population of the euphausiid, Thysanoessa raschii has been studied. In the winter-spring population the males dominate (SR &gt; 1), in summer and autumn the females prevail (SR &lt; 1). A connection was found between the SR and the water temperature two years earlier (minimal in that year and average for May, during which period zygotes are maturing, and embryogenesis and larval development take place). As a result of the increasing temperature, the share of the males in the population is reduced. The seasonal dynamics of the SR of T. raschii are discussed in connection with a general view about life cycles in euphausiids. The evolutionary processes ensuring the formation of the proper sexual structure in euphausiid populations as a whole, are considered.</t>
  </si>
  <si>
    <t>10.1163/15685400260569599</t>
  </si>
  <si>
    <t>640RY</t>
  </si>
  <si>
    <t>WOS:000180702800001</t>
  </si>
  <si>
    <t>Stoll, MHC; Thomas, H; De Baar, HJW; Zondervan, I; De Jong, E; Bathmann, UV; Fahrbach, E</t>
  </si>
  <si>
    <t>Biological versus physical processes as drivers of large oscillations of the air-sea CO2 flux in the Antarctic marginal ice zone during summer</t>
  </si>
  <si>
    <t>Antarctic front; CO2 system; total inorganic carbon; CO2 partial pressure</t>
  </si>
  <si>
    <t>TOTAL CARBON-DIOXIDE; ATMOSPHERIC CO2; SOUTHERN-OCEAN; INTERANNUAL VARIABILITY; SURFACE WATERS; FRONTS; CYCLE; PHYTOPLANKTON; IRON; FCO2</t>
  </si>
  <si>
    <t>The fugacity of CO2 and abundance of chlorophyll a (Chla) were determined in two long transects from the Polar Front to the Antarctic Continent in austral summer, December 1995-January 1996. Large undersaturations of CO2 in the surface water were observed coinciding with high Chla content. In the major hydrographic regions the mean air-sea fluxes were found to range from -3 to + 7 mmol m(-2) d(-1) making these regions act as a sink as well as a source for CO2. In the total 40-d period, the summation of the several strong source and sink regions revealed an overall modest net source of 0.3 mmol m(-2) d(-1), this based on the Wanninkhof (J. Geophys. Res. 97 (1992) 7373) quadratic relationship at in situ windspeed. A simple budget approach was used to quantify the role of phytoplankton blooms in the inorganic carbonate system of the Antarctic seas in a time frame spanning several weeks. The major controlling physical factors such as air-sea flux, Ekman pumping and upwelling are included. Net community production varies between -9 and +7 mmol m(-2) d(-1), because of the large oscillations in the dominance of autotrophic (CO2 fixation) versus heterotrophic (CO2 respiration) activity. Here the mixed layer depth is the major controlling factor. When integrated over time the gross influx and efflux of CO2 from air to sea is large, but the net residual air/sea exchange is a modest efflux from sea to atmosphere. (C) 2002 Elsevier Science Ltd. All rights reserved.</t>
  </si>
  <si>
    <t>Royal Netherlands Inst Sea Res, Dept Marine Chem &amp; Geol, NL-1790 AB Den Burg, Texel, Netherlands; Alfred Wegener Inst Polar &amp; Marine Res, D-27515 Bremerhaven, Germany</t>
  </si>
  <si>
    <t>Utrecht University; Royal Netherlands Institute for Sea Research (NIOZ); Helmholtz Association; Alfred Wegener Institute, Helmholtz Centre for Polar &amp; Marine Research</t>
  </si>
  <si>
    <t>Royal Netherlands Inst Sea Res, Dept Marine Chem &amp; Geol, POB 59, NL-1790 AB Den Burg, Texel, Netherlands.</t>
  </si>
  <si>
    <t>hthomas@nioz.nl; efahrbach@awi-bremerhaven.de</t>
  </si>
  <si>
    <t>PII S0967-0637(02)00067-5</t>
  </si>
  <si>
    <t>10.1016/S0967-0637(02)00067-5</t>
  </si>
  <si>
    <t>616BU</t>
  </si>
  <si>
    <t>WOS:000179282500007</t>
  </si>
  <si>
    <t>Berezovskaya, SL; Dmitrenko, IA; Gribanov, VA; Kirillov, SA; Kassens, H</t>
  </si>
  <si>
    <t>Distribution of river waters over the Laptev Sea shelf under different atmospheric circulation conditions</t>
  </si>
  <si>
    <t>ARCTIC-OCEAN; REGIMES</t>
  </si>
  <si>
    <t>Russian State Hydrometeorol Univ, St Petersburg 195196, Russia; Arctic &amp; Antarctic Res Inst, St Petersburg 199397, Russia; Univ Kiel, GEOMAR, Forsch Ctr Marine Geowissensch, D-24148 Kiel, Germany</t>
  </si>
  <si>
    <t>Russian State Hydrometeorological University; Arctic &amp; Antarctic Research Institute; University of Kiel; Helmholtz Association; GEOMAR Helmholtz Center for Ocean Research Kiel</t>
  </si>
  <si>
    <t>Berezovskaya, SL (corresponding author), Russian State Hydrometeorol Univ, Malookhtinskii Pr 98, St Petersburg 195196, Russia.</t>
  </si>
  <si>
    <t>Stuefer, Svetlana/0000-0003-0740-8335</t>
  </si>
  <si>
    <t>SEP-OCT</t>
  </si>
  <si>
    <t>604PM</t>
  </si>
  <si>
    <t>WOS:000178630300015</t>
  </si>
  <si>
    <t>Udintsev, GB; Gersonde, R; Teterin, DE; Schenke, GW; Beresnev, AF; Gohl, K; Titaeva, NA; Fenogenov, AN; Kurentsova, NA; Roshchina, IA</t>
  </si>
  <si>
    <t>Peter I Island, Pacific Ocean, western Antarctic</t>
  </si>
  <si>
    <t>SEA; OY</t>
  </si>
  <si>
    <t>Russian Acad Sci, Vernadsky Inst Geochem &amp; Analyt Chem, Moscow 117975, Russia; Alfred Wegener Inst Polar &amp; Marine Res, D-27568 Bremerhaven, Germany; Moscow MV Lomonosov State Univ, Moscow 119992, Russia</t>
  </si>
  <si>
    <t>Russian Academy of Sciences; Vernadsky Institute of Geochemistry &amp; Analytical Chemistry; Helmholtz Association; Alfred Wegener Institute, Helmholtz Centre for Polar &amp; Marine Research; Lomonosov Moscow State University</t>
  </si>
  <si>
    <t>Udintsev, GB (corresponding author), Russian Acad Sci, Vernadsky Inst Geochem &amp; Analyt Chem, Ul Kosygina 19, Moscow 117975, Russia.</t>
  </si>
  <si>
    <t>Gohl, Karsten/0000-0002-9558-2116</t>
  </si>
  <si>
    <t>WOS:000178630300019</t>
  </si>
  <si>
    <t>Monin, AS; Vasil'chuk, YK; Vakulenko, NV</t>
  </si>
  <si>
    <t>Self-similarity hypothesis of the chronology of glacier dome spreading</t>
  </si>
  <si>
    <t>ISOTOPE CLIMATIC RECORD; ANTARCTIC ICE; CORES</t>
  </si>
  <si>
    <t>Russian Acad Sci, Shirshov Inst Oceanol, Moscow 117851, Russia; Moscow MV Lomonosov State Univ, MGU, Moscow 119992, Russia</t>
  </si>
  <si>
    <t>Russian Academy of Sciences; Shirshov Institute of Oceanology; Lomonosov Moscow State University</t>
  </si>
  <si>
    <t>Monin, AS (corresponding author), Russian Acad Sci, Shirshov Inst Oceanol, Nakhimovskii Prosp 36, Moscow 117851, Russia.</t>
  </si>
  <si>
    <t>Vasil'chuk, Yurij Kirillovich/C-9124-2015; Yurij, Vasil'chuk/I-4719-2012</t>
  </si>
  <si>
    <t>Vasil'chuk, Yurij Kirillovich/0000-0001-5847-5568; Yurij, Vasil'chuk/0000-0001-8787-0815; Vakulenko, Nadezda/0000-0003-4385-8659</t>
  </si>
  <si>
    <t>WOS:000178630300026</t>
  </si>
  <si>
    <t>Leon, GR; Atlis, MM; Ones, D; Magor, G</t>
  </si>
  <si>
    <t>A 1-year, three-couple expedition as a crew analog for a Mars mission</t>
  </si>
  <si>
    <t>ENVIRONMENT AND BEHAVIOR</t>
  </si>
  <si>
    <t>PERSONALITY-CHARACTERISTICS; ANTARCTIC WINTER; POLAR EXPEDITION; SPACE MISSIONS; STRESS; TEAM; PATTERNS; DISORDER; STATION</t>
  </si>
  <si>
    <t>This study assessed the intrapersonal and interpersonal functioning of a three-couple expedition group that included a 2(1)/(2)-year-old child which was ice-locked on a boat in the High Arctic during a major portion of the expedition. Personality assessment indicated that team members were generally well adjusted, scoring relatively higher on well-being and achievement and relatively lower on stress reactivity. Weekly mood ratings showed that the group exhibited significantly higher positive than negative affect. Reported negative events were relatively most frequent at the beginning of the Arctic stay and toward the end of the darkness period and were lowest during the initial darkness interval. The period of darkness had both a salutary and negative impact. A highly important means of coping with stress was seeking emotional support from one's partner. Selection of couples with strong bonds with their partner appears to be one viable approach for crew selection for long-duration missions.</t>
  </si>
  <si>
    <t>Univ Minnesota, Res Training Program, Minneapolis, MN 55455 USA</t>
  </si>
  <si>
    <t>University of Minnesota System; University of Minnesota Twin Cities</t>
  </si>
  <si>
    <t>Leon, GR (corresponding author), Univ Minnesota, Res Training Program, Minneapolis, MN 55455 USA.</t>
  </si>
  <si>
    <t>Ones, Deniz/AAN-6532-2021</t>
  </si>
  <si>
    <t>Ones, Deniz S./0000-0003-1739-8951</t>
  </si>
  <si>
    <t>SAGE PUBLICATIONS INC</t>
  </si>
  <si>
    <t>THOUSAND OAKS</t>
  </si>
  <si>
    <t>2455 TELLER RD, THOUSAND OAKS, CA 91320 USA</t>
  </si>
  <si>
    <t>0013-9165</t>
  </si>
  <si>
    <t>ENVIRON BEHAV</t>
  </si>
  <si>
    <t>Environ. Behav.</t>
  </si>
  <si>
    <t>10.1177/0013916502034005006</t>
  </si>
  <si>
    <t>Environmental Studies; Psychology, Multidisciplinary</t>
  </si>
  <si>
    <t>Environmental Sciences &amp; Ecology; Psychology</t>
  </si>
  <si>
    <t>582NN</t>
  </si>
  <si>
    <t>WOS:000177358200006</t>
  </si>
  <si>
    <t>Luttinen, AV; Zhang, X; Foland, KA</t>
  </si>
  <si>
    <t>159 Ma Kjakebeinet lamproites (Dronning Maud Land, Antarctica) and their implications for Gondwana breakup processes</t>
  </si>
  <si>
    <t>GEOLOGICAL MAGAZINE</t>
  </si>
  <si>
    <t>lamproite; Gondwana; Ar/Ar; geochronology; isotopes; Antarctica</t>
  </si>
  <si>
    <t>40AR/39AR GEOCHRONOLOGY; FLOOD BASALTS; MANTLE; PETROGENESIS; GEOCHEMISTRY; MAGMATISM; LITHOSPHERE; KIMBERLITES; GENERATION; EVOLUTION</t>
  </si>
  <si>
    <t>Lamproite dykes that cross-cut Middle Jurassic Karoo-related flood basalts in Vestfjella, Dronning Maud Land, Antarctica, have been dated at 158.7 +/- 1.6 Ma by 40Ar/39Ar incremental heating of phlogopite. Compared to most lamproites, these dykes are unusually low in SiO2 (40.09-40.18 wt%) and high in CaO (12.35-16.24 wt %) and P2O5 (3.03-3.81 wt%). They have broad affinities to spatially and temporally related group II kimberlites of southern Africa, but the geochemically closest correlatives are CaO- and P2O5-rich diopside madupitic lamproites from Leucite Hills, USA. The Kjakebeinet lamproites are notably high in incompatible elements, show negative initial epsilon(Nd) values (-6.0,-6.7) and positive initial epsilon(Sr) values (+14, +17) with T-DM model ages of c. 1.1 Ga, and probably record melting of metasomatized subcontinental lithospheric mantle beneath western Dronning Maud Land. Their emplacement records the youngest recognized magmatic event in the region, coincides with the proposed second and final stage of Gondwana breakup between Africa and Antarctica, and may be associated with deep-seated coast-parallel strike-slip faulting in Dronning Maud Land. Survival of old, easily fusible lithospheric mantle material 20 Ma after the eruption of voluminous flood basalt magmas suggests that the latter were emplaced within narrow zones of lithospheric thinning and that the source of lamproites remained largely intact between these zones.</t>
  </si>
  <si>
    <t>British Antarctic Survey, Cambridge CB3 0ET, England; Ohio State Univ, Dept Geol Sci, Columbus, OH 43210 USA</t>
  </si>
  <si>
    <t>UK Research &amp; Innovation (UKRI); Natural Environment Research Council (NERC); NERC British Antarctic Survey; University System of Ohio; Ohio State University</t>
  </si>
  <si>
    <t>Univ Helsinki, Dept Geol, POB 64, FIN-00014 Helsinki, Finland.</t>
  </si>
  <si>
    <t>arto.luttinen@helsinki.fi</t>
  </si>
  <si>
    <t>Luttinen, Arto Vesa/0000-0002-3129-0392</t>
  </si>
  <si>
    <t>0016-7568</t>
  </si>
  <si>
    <t>1469-5081</t>
  </si>
  <si>
    <t>GEOL MAG</t>
  </si>
  <si>
    <t>Geol. Mag.</t>
  </si>
  <si>
    <t>10.1017/S001675680200674X</t>
  </si>
  <si>
    <t>637GE</t>
  </si>
  <si>
    <t>WOS:000180502600003</t>
  </si>
  <si>
    <t>Jonkers, HA; Lirio, JM; Del Valle, RA; Kelley, SP</t>
  </si>
  <si>
    <t>Age and environment of Miocene-Pliocene glaciomarine deposits, James Ross Island, Antarctica</t>
  </si>
  <si>
    <t>Antarctica; stratigraphy; Ar/Ar; micropalaeontology; palaeoclimatology</t>
  </si>
  <si>
    <t>FORAMINIFERS; STRATIGRAPHY; PENINSULA; OLIGOCENE; MARINE; BASIN; SOUND</t>
  </si>
  <si>
    <t>Knowledge of the late Miocene-Pliocene climate of West Antarctica, recorded by sedimentary units within the James Ross Island Volcanic Group, is still fragmentary. Late Miocene glacio-marine deposits at the base of the group in eastern James Ross Island (Hobbs Glacier Formation) and Late Pliocene (3 Ma) interglacial strata at its local top on Cockburn Island (Cockburn Island Formation) have been studied extensively, but other Neogene sedimentary rocks on James Ross Island have thus far not been considered in great detail. Here, we document two further occurrences of glaciomarine strata, included in an expanded Hobbs Glacier Formation, which demonstrate the stratigraphic complexity of the James Ross Island Volcanic Group: reworked diamictites intercalated within the volcanic sequence at Fiordo Belen, northern James Ross Island, are dated by 40Ar/39Ar and Sr-87/Sr-86 at c. 7 Ma (Late Miocene), but massive diamictites which underlie volcanic rocks near Cape Gage, oil eastern James Ross Island, yielded an Ar-Ar age of &lt; 3.1 Ma (Late Pliocene). These age assignments are confirmed by benthic foraminiferal index species of the genus Ammoelphidiella. The geological setting and Cassididina-dominated foraminiferal biofacies of the rocks at Fiordo Belen suggest deposition in water depths of 150-200 m. The periglacial deposits and waterlain tills at Cape Gage were deposited at shallower depths (&lt; 100 in), as indicated by all abundance of the pectinid bivalve 'Zygochlamys' anderssoni and the epibiotic foram Cibicides lobatulus. Macrofaunal and foraminiferal biofacies of glaciomarine and interglacial deposits share many similarities, which suggests that temperature is not the dominant factor in the distribution of late Neogene Antarctic biota. Approximately 10 m.y. of Miocene-Pliocene climatic record is preserved within the rock sequence of the James Ross Island Volcanic Group. Prevailing glacial conditions were punctuated by interglacial conditions around 3 Ma.</t>
  </si>
  <si>
    <t>British Antarctic Survey, NERC, Cambridge CB3 0ET, England; Inst Antartico Argentino, RA-1010 Buenos Aires, DF, Argentina; Open Univ, Dept Earth Sci, Milton Keynes MK7 6AA, Bucks, England</t>
  </si>
  <si>
    <t>UK Research &amp; Innovation (UKRI); Natural Environment Research Council (NERC); NERC British Antarctic Survey; Instituto Antartico Argentino; Open University - UK</t>
  </si>
  <si>
    <t>Dommerswijk 10, NL-7782 PA De Krim, Netherlands.</t>
  </si>
  <si>
    <t>Kelley, Simon/AAR-7075-2020</t>
  </si>
  <si>
    <t>Kelley, Simon/0000-0002-1756-0480</t>
  </si>
  <si>
    <t>WOS:000180502600006</t>
  </si>
  <si>
    <t>Pankhurst, RJ</t>
  </si>
  <si>
    <t>Marie Byrd Land, West Antarctica: Evolution of Gondwana's Pacific Margin constrained by zircon U-Pb geochronology and feldspar common-Pb isotopic compositions - Discussion</t>
  </si>
  <si>
    <t>GEOLOGICAL SOCIETY OF AMERICA BULLETIN</t>
  </si>
  <si>
    <t>discordance; discovery; Permian; Rb-Sr; SHRIMP data; zircon</t>
  </si>
  <si>
    <t>Pankhurst, RJ (corresponding author), Kingsley Dunham Ctr, British Antarctic Survey, Keyworth NG12 5GG, Notts, England.</t>
  </si>
  <si>
    <t>r.pankhurst@bas.ac.uk</t>
  </si>
  <si>
    <t>0016-7606</t>
  </si>
  <si>
    <t>GEOL SOC AM BULL</t>
  </si>
  <si>
    <t>Geol. Soc. Am. Bull.</t>
  </si>
  <si>
    <t>592LA</t>
  </si>
  <si>
    <t>WOS:000177938100010</t>
  </si>
  <si>
    <t>Vanneste, LE; Larter, RD; Smythe, DK</t>
  </si>
  <si>
    <t>Slice of intraoceanic arc: Insights from the first multichannel seismic reflection profile across the South Sandwich island arc</t>
  </si>
  <si>
    <t>earthquakes; South Sandwich Islands; seismic reflection data; subduction</t>
  </si>
  <si>
    <t>EAST-SCOTIA RIDGE; OCEANIC-CRUST; SUBDUCTION; PACIFIC; TOPOGRAPHY; EROSION</t>
  </si>
  <si>
    <t>We present the first multichannel seismic (MCS) reflection line that crosses the South Sandwich Trench, South Sandwich island are, and East Scotia Sea backarc basin. The line is used in combination with earthquake catalogue data to interpret the strain distribution across the Sandwich plate and the relationship of forearc structures to processes operating at the trench. The MCS data reveal a 1.2-km-high fault scarp associated with a 20-km-wide arcward-tilted block in the mid-forearc; these features indicate large-scale gravitational collapse, and earthquake data are consistent with trench-normal extension at shallow depth in this area. There is, however, little evidence of distributed extension within the interior of the Sandwich plate. The MCS data show a small frontal wedge that achieves its maximum thickness only 18 km from the trench. Backarc magnetic data, mid-forearc extension, and the small size of the frontal wedge are all consistent with long-term and ongoing subduction erosion. Earthquake data suggest that this erosion is taking place in an environment of low interplate stress.</t>
  </si>
  <si>
    <t>British Antarctic Survey, Cambridge CB3 0ET, England; Univ Glasgow, Dept Geol &amp; Appl Geol, Glasgow G12 8QQ, Lanark, Scotland</t>
  </si>
  <si>
    <t>UK Research &amp; Innovation (UKRI); Natural Environment Research Council (NERC); NERC British Antarctic Survey; University of Glasgow</t>
  </si>
  <si>
    <t>Smythe, DK (corresponding author), British Antarctic Survey, High Cross,Madingley Rd, Cambridge CB3 0ET, England.</t>
  </si>
  <si>
    <t>Smythe, David/AGH-3193-2022</t>
  </si>
  <si>
    <t>Smythe, David/0000-0002-1924-5900; Larter, Robert/0000-0002-8414-7389</t>
  </si>
  <si>
    <t>GEOLOGICAL SOC AMERICA, INC</t>
  </si>
  <si>
    <t>10.1130/0091-7613(2002)030&lt;0819:SOIAIF&gt;2.0.CO;2</t>
  </si>
  <si>
    <t>592KY</t>
  </si>
  <si>
    <t>WOS:000177937900014</t>
  </si>
  <si>
    <t>Langenfelds, RL; Francey, RJ; Pak, BC; Steele, LP; Lloyd, J; Trudinger, CM; Allison, CE</t>
  </si>
  <si>
    <t>Interannual growth rate variations of atmospheric CO2 and its δ13C, H2, CH4, and CO between 1992 and 1999 linked to biomass burning -: art. no. 1048</t>
  </si>
  <si>
    <t>FREE TROPOSPHERIC CO; CARBON-DIOXIDE; GLOBAL DISTRIBUTION; FOREST-FIRES; MAUNA-LOA; TERRESTRIAL BIOSPHERE; ISOTOPIC COMPOSITION; DEEP CONVECTION; OCEANIC UPTAKE; TRACE GASES</t>
  </si>
  <si>
    <t>[1] High-precision, multispecies measurements of flask air samples since 1992 from CSIRO's global sampling network reveal strong correlation among interannual growth rate variations of CO2 and its delta(13)C, H-2,CH4, and CO. We show that a major fraction of the variability is consistent with two emission pulses coinciding with large biomass burning events in 1994/1995 and 1997/1998 in tropical and boreal regions, and observations of unusually high levels of combustion products in the overlying troposphere at these times. Implied pulse strengths and multispecies emission ratios are not consistent with any other single process, but do not exclude possible contributions from covarying processes that are linked through climatic forcing. Comparison of CO2 with its delta(13)C indicates that most of the CO2 variation is from terrestrial exchange, but does not distinguish forcing by biomass burning from imbalance in photosynthesis/respiration of terrestrial ecosystems. Partitioning of terrestrial CO2 fluxes is constrained by H-2,CH4, and CO, all of which are products of biomass burning but which have no direct link to net respiration of CO2. While CO is a strong indicator of biomass burning, its short lifetime prevents it from usefully constraining the magnitude of CO2 emissions. If the H-2 and CH4 variations were dominated by biomass burning, they would imply associated carbon emissions in excess of mean annual levels of other years, of 0.6-3.5 and 0.8-3.7 Pg C for 1994/1995 and 1997/1998, respectively. The large range in emission estimates mainly reflects uncertainty in H-2/CO2 and CH4/CO2 emission ratios of fires in these years.</t>
  </si>
  <si>
    <t>CSIRO Atmospher Res, Mordialloc, Vic 3195, Australia; Univ Tasmania, Inst Antarctic &amp; So Ocean Studies, Hobart, Tas 7001, Australia; Univ Melbourne, Sch Earth Sci, Parkville, Vic 3052, Australia; Max Planck Inst Biogeochem, D-07701 Jena, Germany</t>
  </si>
  <si>
    <t>Commonwealth Scientific &amp; Industrial Research Organisation (CSIRO); University of Tasmania; University of Melbourne; Max Planck Society</t>
  </si>
  <si>
    <t>CSIRO Atmospher Res, Private Bag 1,107-121 Stn St, Mordialloc, Vic 3195, Australia.</t>
  </si>
  <si>
    <t>ray.langenfelds@csiro.au; roger.francey@csiro.au; bpak@halo.ps.uci.edu; paul.steele@csiro.au; jon.lloyd@bgc-jena.mpg.de; cathy.trudinger@csiro.au; colin.allison@csiro.au</t>
  </si>
  <si>
    <t>Steele, Paul/B-3185-2009; Francey, Roger J/A-2345-2012; Trudinger, Cathy/A-2532-2008; Langenfelds, Raymond L/B-5381-2012; Lloyd, Jonathan/F-8893-2010; Pak, Bernard/F-4326-2015</t>
  </si>
  <si>
    <t>Trudinger, Cathy/0000-0002-4844-2153; Lloyd, Jonathan/0000-0002-5458-9960; Pak, Bernard/0000-0002-2137-8171</t>
  </si>
  <si>
    <t>10.1029/2001GB001466</t>
  </si>
  <si>
    <t>639RW</t>
  </si>
  <si>
    <t>WOS:000180644000003</t>
  </si>
  <si>
    <t>Bowman, JP; Nichols, DS</t>
  </si>
  <si>
    <t>Aequorivita gen. nov., a member of the family Flavobacteriaceae isolated from terrestrial and marine Antarctic habitats</t>
  </si>
  <si>
    <t>Aequorivita; Flavobacteriaccae; Antarctica; sea water; sea ice</t>
  </si>
  <si>
    <t>SEA-ICE HABITATS; PSYCHROPHILIC BACTERIA; SP. NOV.; COMB. NOV; RECLASSIFICATION; HYBRIDIZATION; DNA</t>
  </si>
  <si>
    <t>Several strains isolated from Antarctic winter sea water, sea-ice algal assemblages and quartz stone subliths were found to belong to a novel 16S rDNA sequence cluster within the family Flavobacteriaceae (Cytophaga-Flavobacterium-Bacteroides division). The strains were Gram-negative, non-motile, psychrotolerant, strictly aerobic, chemoheterotrophic rod-shaped cells that contained orange or yellow carotenoid pigments and required yeast extract when grown in defined mineral-salts media. The requirement for sodium ions varied between strains. Results of DNA-DNA hybridization analysis were used to divide the strains into four distinct genospecies, which were differentiated by physiological and nutritional characteristics. The DNA G+C content of the strains was 33-39 mol %. The fatty acid profiles of representative strains were very similar, with major constituents including i15:1omega10c, a15:1omega10c, i15:0, a15:0, i16:1omega6c, i17:1omega5c and 3-OH i16:0. The novel genus Aequorivita gen. nov., which has widespread distribution in the Antarctic region, is proposed. The genus comprises four species: the type species Aequorivita antarctica sp. nov. (type strain SW49(T) = ACAM 640(T) = DSM 14231(T)), Aequorivita lipolytica sp. nov. (type strain Y10-2(T) = ACAM 641(T) = DSM 14236(T)), Aequorivita crocea sp. nov. (type strain Y12-2(T) = ACAM 642(T) = DSM 14239(T)) and Aequorivita sublithincola sp. nov. (type strain 9-3(T) = ACAM 643(T) = DSM 14238(T)).</t>
  </si>
  <si>
    <t>Univ Tasmania, Sch Agr Sci, Hobart, Tas 7001, Australia</t>
  </si>
  <si>
    <t>Bowman, JP (corresponding author), Univ Tasmania, Sch Agr Sci, GPO Box 252-54, Hobart, Tas 7001, Australia.</t>
  </si>
  <si>
    <t>Bowman, John P./ABF-5108-2020; Bowman, John P/C-2414-2014</t>
  </si>
  <si>
    <t>Bowman, John P./0000-0002-4528-9333; Bowman, John P/0000-0002-4528-9333; Nichols, David/0000-0002-8066-3132</t>
  </si>
  <si>
    <t>10.1099/ijs.0.01976-0</t>
  </si>
  <si>
    <t>595PG</t>
  </si>
  <si>
    <t>WOS:000178117500012</t>
  </si>
  <si>
    <t>Pearse, JS; Bosch, I</t>
  </si>
  <si>
    <t>Photoperiodic regulation of gametogenesis in the Antarctic sea star Odontaster validus Koehler:: Evidence for a circannual rhythm modulated by light</t>
  </si>
  <si>
    <t>INVERTEBRATE REPRODUCTION &amp; DEVELOPMENT</t>
  </si>
  <si>
    <t>9th International Congress on Invertebrate Reproduction and Development</t>
  </si>
  <si>
    <t>JUL 15-20, 2001</t>
  </si>
  <si>
    <t>RHODES UNIV, GRAHAMSTOWN, SOUTH AFRICA</t>
  </si>
  <si>
    <t>RHODES UNIV</t>
  </si>
  <si>
    <t>Antarctic; asteroids; circannual rhythms; echinoderms; gametogenesis; photoperiodism; reproduction</t>
  </si>
  <si>
    <t>URCHIN STRONGYLOCENTROTUS-PURPURATUS; HARMOTHOE-IMBRICATA L; LAMARCK ECHINODERMATA; MARINE-INVERTEBRATES; OOCYTE GROWTH; TEMPERATURE; CYCLE; REPRODUCTION; POLYCHAETA; LARVAE</t>
  </si>
  <si>
    <t>The common Antarctic sea star Odontaster validus spawns in mid-winter, following a long period of gametogenesis. In a 2-year experiment at McMurdo Sound where sea temperature remains at freezing year round, we found that gametogenesis in sea stars kept on photoperiods 6 months out of phase with ambient (constant light in winter, constant dark in summer) had, within a year, switched to 6 months out of phase with stars kept on an ambient photoperiod or collected from the field. Gametogenesis in sea stars kept in constant light or on a 12 h light: 12 h dark photoperiod appeared to be maintained more or less continuously; photoperiods of 12 h or more apparently stimulate gametogenesis. In contrast, gametogenesis in sea stars kept in constant darkness was the same as in sea stars kept on an ambient photoperiod or collected from the field, indicative of an underlying circannual rhythm similar to that known for the NE Pacific sea star Pisaster ochraceus. Such a rhythm could maintain gametogenic synchrony among different populations with different light regimes, including those in deeper water where light is very dim or absent. If so, the rhythm would need to be set in larvae when they are near the sea surface in the summer.</t>
  </si>
  <si>
    <t>Univ Calif Santa Cruz, Inst Marine Sci, Long Marine Lab, Santa Cruz, CA 95064 USA; SUNY Coll Geneseo, Dept Biol, Geneseo, NY 14454 USA</t>
  </si>
  <si>
    <t>University of California System; University of California Santa Cruz; State University of New York (SUNY) System; SUNY Geneseo</t>
  </si>
  <si>
    <t>Pearse, JS (corresponding author), Univ Calif Santa Cruz, Inst Marine Sci, Long Marine Lab, Santa Cruz, CA 95064 USA.</t>
  </si>
  <si>
    <t>INT SCIENCE SERVICES/BALABAN PUBLISHERS</t>
  </si>
  <si>
    <t>REHOVOT</t>
  </si>
  <si>
    <t>PO BOX 2039, REHOVOT 76120, ISRAEL</t>
  </si>
  <si>
    <t>0168-8170</t>
  </si>
  <si>
    <t>INVERTEBR REPROD DEV</t>
  </si>
  <si>
    <t>Invertebr. Reprod. Dev.</t>
  </si>
  <si>
    <t>10.1080/07924259.2002.9652737</t>
  </si>
  <si>
    <t>Reproductive Biology; Zoology</t>
  </si>
  <si>
    <t>605XM</t>
  </si>
  <si>
    <t>WOS:000178702400011</t>
  </si>
  <si>
    <t>Feigin, AM</t>
  </si>
  <si>
    <t>Nonlinear dynamic models of atmospheric photochemical systems: Methods for construction and analysis (Review)</t>
  </si>
  <si>
    <t>MULTIPLE STEADY-STATES; WATER-VAPOR; STRATOSPHERIC CHEMISTRY; MINOR CONSTITUENTS; SEASONAL-VARIATION; MIDDLE ATMOSPHERE; ANTARCTIC VORTEX; TOTAL OZONE; SOUTH-POLE; 2-DAY WAVE</t>
  </si>
  <si>
    <t>Methods recently proposed for the construction and analysis of essential dynamic models of atmospheric photochemical systems (PCSs) determining the evolution of minor constituents in various regions of the earth's atmosphere are described. Such models can be used to examine the nonlinear dynamic properties of PCS, including the detection and prediction of bifurcations (changes in the type of behavior) of a system caused by trends of its control parameters. Examples are given where the general algorithm for constructing essential dynamic models is applied to two atmospheric photochemical systems: mesospheric and polar lower stratospheric. The nonlinear dynamic properties of these systems are examined. Possible manifestations of the identified nonlinear dynamic properties in the actual atmosphere are analyzed. It is shown that nonlinear oscillations of the concentrations of minor constituents in the mesopause region are the most plausible mechanism for exciting quasi-two-day waves in the upper mesosphere and the lower thermosphere. The conclusion that the nonlinear dynamic properties of the polar lower stratospheric PCS play an important role in the Antarctic ozone hole phenomenon is justified. It is demonstrated that the nonlinear dynamic properties could cause the abrupt ozone hole formation in the mid-1980s, can explain its present state, and can lead to fundamentally different scenarios of the future evolution of the Antarctic ozone layer in winter and spring.</t>
  </si>
  <si>
    <t>Russian Acad Sci, Inst Phys Appl, Nizhnii Novgorod 603950, Russia</t>
  </si>
  <si>
    <t>Feigin, AM (corresponding author), Russian Acad Sci, Inst Phys Appl, Ulyanova 46, Nizhnii Novgorod 603950, Russia.</t>
  </si>
  <si>
    <t>feigin@appl.sci-nnov.ru</t>
  </si>
  <si>
    <t>Feigin, Alexander M./K-3857-2018</t>
  </si>
  <si>
    <t>Feigin, Alexander M./0000-0002-9106-7766</t>
  </si>
  <si>
    <t>1555-628X</t>
  </si>
  <si>
    <t>606XA</t>
  </si>
  <si>
    <t>WOS:000178759300001</t>
  </si>
  <si>
    <t>The Trans-Mars Expedition - A long-distance, long-duration, scientific EVA</t>
  </si>
  <si>
    <t>Mars; expedition; poles; ISRU; Trans-Mars</t>
  </si>
  <si>
    <t>HELLAS REGION; GEOLOGY; DUNES; EVOLUTION; DEPOSITS; VOLCANOS; PATERA</t>
  </si>
  <si>
    <t>Of Martian expeditionary accomplishments, the Trans-Mars Expedition is the most audacious in terms of the logistical challenges imposed upon it and diversity of scientific foci it could encompass. The similar to21,000 km expedition requires two transpolar assaults on the Martian north and south geographical poles, a traverse across the summit of Mount Olympus and traverses across the interconnecting desert regions of Mars. Taking lessons suggested for Martian desert, polar and mountain expeditions, I describe this expedition using a 120degreesW, 300degreesW longitudinal route. I quantify the in-situ resource utilization (ISRU) requirements for oxygen, water and fuel. Calculations suggest that ISRU of the martian atmosphere can be used to supply vehicle fuel and to replenish oxygen and water throughout the expedition duration at mean rates of progress and with certain assumptions on oxygen and water usage. Equipment requirements are reviewed with a special focus on equipment that can be modified for use in all of the environments encountered. As its scientific objective, the expedition would undertake a study of volcanism, desert and polar processes over a planetary transect contributing significantly to the inventory of samples gathered across the Martian surface. The planning of such an expedition provides a reference expedition for considering ISRU and scientific requirements for any long-duration, long-distance scientific expeditionary EVA on Mars.</t>
  </si>
  <si>
    <t>British Antarctic Survey, Cambridge CB3 0ET, England; NASA, Ames Res Ctr, Moffett Field, CA 94035 USA</t>
  </si>
  <si>
    <t>UK Research &amp; Innovation (UKRI); Natural Environment Research Council (NERC); NERC British Antarctic Survey; National Aeronautics &amp; Space Administration (NASA); NASA Ames Research Center</t>
  </si>
  <si>
    <t>9-10</t>
  </si>
  <si>
    <t>666KM</t>
  </si>
  <si>
    <t>WOS:000182176500001</t>
  </si>
  <si>
    <t>Zolotov, YA</t>
  </si>
  <si>
    <t>Determination of impurities in Antarctic ice, snow, and air</t>
  </si>
  <si>
    <t>JOURNAL OF ANALYTICAL CHEMISTRY</t>
  </si>
  <si>
    <t>PLEIADES PUBLISHING INC</t>
  </si>
  <si>
    <t>PLEIADES PUBLISHING INC, MOSCOW, 00000, RUSSIA</t>
  </si>
  <si>
    <t>1061-9348</t>
  </si>
  <si>
    <t>1608-3199</t>
  </si>
  <si>
    <t>J ANAL CHEM+</t>
  </si>
  <si>
    <t>J. Anal. Chem.</t>
  </si>
  <si>
    <t>599ZX</t>
  </si>
  <si>
    <t>WOS:000178366700001</t>
  </si>
  <si>
    <t>Okada, I; Yamanouchi, T</t>
  </si>
  <si>
    <t>Seasonal change of the atmospheric heat budget over the Southern Ocean from ECMWF and ERBE data</t>
  </si>
  <si>
    <t>SEA-ICE; RADIATION BUDGET; GLOBAL ANALYSES; ENERGY-BALANCE; SURFACE; REANALYSES; FORECASTS; PROJECT</t>
  </si>
  <si>
    <t>The seasonal variation of the zonally averaged atmospheric energy budget between 60degrees and 70degreesS was estimated. This region is predominantly within the seasonal sea ice zone of the Southern Ocean, including some parts of the Antarctic continent. In the Southern Ocean, seasonal sea ice extent exhibits large amplitudes and affects the surface heat exchange considerably. Seasonal variation of the energy budget and its relationship to the surface condition should be clarified as the basic variation. In spite of its importance, the data to estimate energy budgets are extremely sparse in this sea ice zone. Hence, the global objective analyses with forecasting models are mainly used as data for the present study. The surface energy flux is obtained as a remainder term in the energy budget of the total atmosphere, with the energy divergence and changes to the energy content of the atmospheric column derived from the European Centre for Medium-Range Weather Forecasts (ECMWF) objective analyses, and with the radiation budget at the top of the atmosphere estimated from the Earth Radiation Budget Experiment (ERBE) data. The derived values of the surface flux are not seasonally symmetric. This differs from other latitude bands (e. g., 50degrees- 60degreesS) where the variation is symmetric and is driven by shortwave radiation change. The monthly mean surface energy flux shows an immediate increase to the maximum of 116 W m 22 in May (heating of the atmosphere), and then gradually decreases to the minimum of 2108 W m 22 in December (cooling of the atmosphere). It is suggested that the asymmetry at 60degrees-70degreesS is due to the effect of seasonal sea ice extent changes on the surface energy exchanges. A comparison of the derived values of the surface flux with the latent heat required for the change in sea ice extent provides some support for this suggestion. The rate of sea ice expansion shows a peak in May when the surface energy flux becomes maximum. The turbulent heat component of the surface energy flux is compared with other estimates of turbulent heat exchange over the Southern Ocean. Suppression of the turbulent heat exchange in late winter derived in the present study, in comparison with those values over open water area, suggests the effect of extended sea ice cover.</t>
  </si>
  <si>
    <t>Grad Univ Adv Studies, Natl Inst Polar Res, Itabashi Ku, Tokyo 1738515, Japan; Grad Univ Adv Studies, Sch Math &amp; Phys Sci, Dept Polar Sci, Tokyo, Japan</t>
  </si>
  <si>
    <t>Graduate University for Advanced Studies - Japan; Research Organization of Information &amp; Systems (ROIS); National Institute of Polar Research (NIPR) - Japan; Graduate University for Advanced Studies - Japan</t>
  </si>
  <si>
    <t>Yamanouchi, T (corresponding author), Grad Univ Adv Studies, Natl Inst Polar Res, Itabashi Ku, 1-9-10 Kaga, Tokyo 1738515, Japan.</t>
  </si>
  <si>
    <t>Yamanouchi, Takashi/P-2041-2015</t>
  </si>
  <si>
    <t>10.1175/1520-0442(2002)015&lt;2527:SCOTAH&gt;2.0.CO;2</t>
  </si>
  <si>
    <t>586FC</t>
  </si>
  <si>
    <t>WOS:000177573100017</t>
  </si>
  <si>
    <t>White, WB; Chen, SC</t>
  </si>
  <si>
    <t>Thermodynamic mechanisms responsible for the tropospheric response to SST anomalies in the Antarctic Circumpolar Wave</t>
  </si>
  <si>
    <t>SEA-SURFACE TEMPERATURE; SOUTHERN OSCILLATION; ATMOSPHERIC RESPONSE; GENERAL-CIRCULATION; NORTHWEST ATLANTIC; PACIFIC OCEAN; MODEL; REANALYSIS; PRESSURE; TELECONNECTIONS</t>
  </si>
  <si>
    <t>Tropospheric temperature and vorticity budgets for the Antarctic Circumpolar Wave (ACW) are diagnosed utilizing the National Centers for Environment Prediction-National Center for Atmospheric Research reanalysis datasets from 1983 to 1992, focusing on the eastern Atlantic, Indian, and western and central Pacific sectors of the Southern Ocean where remote forcing from the Tropics has been observed to be weak. There, warm sea surface temperature (SST) anomalies are found in the ACW propagating eastward together with anomalous upward latent heat flux, positive precipitation, low-level convergence, upper-level divergence, midlevel ascent, and poleward surface wind. Diagnosing the anomalous temperature budget finds SST-induced latent heat flux instigating anomalous mid- to upper-level diabatic heating and low-level diabatic cooling in the absence of significant eddy heat flux divergence. This diabatic heating profile is balanced by a combination of vertical and horizontal heat advection, giving rise to anomalous ascent and poleward wind throughout the column. The thermodynamics of this deep diabatic heating scenario are different from those of Palmer and Sun. An intrinsic feedback from atmosphere to ocean is indicated by reduced sensible-plus-latent heat flux displaced 458 to 908 of phase to the east of warm SST anomalies, yielding an anomalous SST warming tendency that contributes both to eastward phase propagation and amplitude maintenance of the ACW. Diagnosing the anomalous potential vorticity budget finds the vertical gradient of anomalous diabatic heating, negative over most of the column, balanced by the anomalous advection of planetary vorticity, the mean advection of anomalous relative vorticity, and net vortex tube advection, together yielding a poleward equivalently barotropic wind response to warm SST anomalies. This deep diabatic heating scenario is contrasted against the remote forcing scenario in the eastern Pacific and western Atlantic sectors of the Southern Ocean where remote forcing associated with the El Nino Southern Oscillation (ENSO) in the Tropics can now be seen to drive the SST tendency in the ACW.</t>
  </si>
  <si>
    <t>White, WB (corresponding author), Univ Calif San Diego, Scripps Inst Oceanog, La Jolla, CA 92093 USA.</t>
  </si>
  <si>
    <t>10.1175/1520-0442(2002)015&lt;2577:TMRFTT&gt;2.0.CO;2</t>
  </si>
  <si>
    <t>586FD</t>
  </si>
  <si>
    <t>WOS:000177573200001</t>
  </si>
  <si>
    <t>Choi, WK; Kim, S; Grant, WB; Shiotani, M; Sasano, Y; Schoeberl, MR</t>
  </si>
  <si>
    <t>Transport of methane in the stratosphere associated with the breakdown of the Antarctic polar vortex</t>
  </si>
  <si>
    <t>LIMB-ATMOSPHERIC-SPECTROMETER; POTENTIAL VORTICITY; OZONE HOLE; SOUTHERN-HEMISPHERE; TRACER TRANSPORT; LATE WINTER; ILAS; EVOLUTION; HALOE; EDGE</t>
  </si>
  <si>
    <t>[1] Transport of methane associated with the polar vortex and its breakdown was observed by the data from the Improved Limb Atmospheric Spectrometer (ILAS) during November and December of 1996. The zonal mean mixing ratio in the middle stratosphere at high latitudes in the Southern Hemisphere increased rapidly during the period, and the vertical gradient of methane sometimes showed an unusual reversal. The reversal of the vertical gradient confirms that the erosion of the vortex and the subsequent breakdown occurs in the upper stratosphere first and descends with time. The variation of the tracer mixing ratio was investigated with respect to the boundary of the polar vortex. The mixing ratios inside and outside of the polar vortex evolved with distinctive patterns with time. The small difference in methane between inside and outside of the vortex in the upper stratosphere is presumably a result of the vortex erosion prior to November. Also, the small difference between inside and outside of the vortex in the lower stratosphere confirms the weak barrier effect of the polar vortex on that altitude. High concentrations of methane observed inside the vortex show mixing of lower-latitude air into the vortex. An RDF calculation confirms the behavior of methane transport into the vortex.</t>
  </si>
  <si>
    <t>Seoul Natl Univ, Sch Earth &amp; Environm Sci, Seoul, South Korea; NASA, Langley Res Ctr, Hampton, VA 23665 USA; Kyoto Univ, Radio Sci Ctr Space &amp; Atmosphere, Kyoto, Japan; Natl Inst Environm Studies, Div Atmospher Environm, Tsukuba, Ibaraki, Japan; NASA, Goddard Space Flight Ctr, Greenbelt, MD 20771 USA</t>
  </si>
  <si>
    <t>Seoul National University (SNU); National Aeronautics &amp; Space Administration (NASA); NASA Langley Research Center; Kyoto University; National Institute for Environmental Studies - Japan; National Aeronautics &amp; Space Administration (NASA); NASA Goddard Space Flight Center</t>
  </si>
  <si>
    <t>Seoul Natl Univ, Sch Earth &amp; Environm Sci, Seoul, South Korea.</t>
  </si>
  <si>
    <t>wchoi@snu.ac.kr; agnes3@snu.ac.kr; W.B.Grant@larc.nasa.gov; shiotani@kurasc.kyoto-u.ac.jp; sasano@nies.go.jp; schom@zephyr.gsfc.nasa.gov</t>
  </si>
  <si>
    <t>Shiotani, Masato/M-8498-2017; Sasano, Yasuhiro/AAL-8184-2020; Grant, William B./B-8311-2009</t>
  </si>
  <si>
    <t>Sasano, Yasuhiro/0000-0001-7470-5642; Grant, William B./0000-0002-1439-3285; Shiotani, Masato/0000-0001-5844-4032</t>
  </si>
  <si>
    <t>10.1029/2001JD000644</t>
  </si>
  <si>
    <t>637BN</t>
  </si>
  <si>
    <t>WOS:000180491900005</t>
  </si>
  <si>
    <t>Frezzotti, M; Gandolfi, S; Urbini, S</t>
  </si>
  <si>
    <t>Snow megadunes in Antarctica: Sedimentary structure and genesis</t>
  </si>
  <si>
    <t>snow dune; aeolian morphology; mass balance; ice core; katabatic wind; Antarctica</t>
  </si>
  <si>
    <t>DRONNING MAUD LAND; DIELECTRIC-CONSTANT; SURFACE-TOPOGRAPHY; KATABATIC WINDS; ICE-SHEET; ACCUMULATION; ZONE; GPS</t>
  </si>
  <si>
    <t>[1] Megadune fields occupy large areas in the interior of the East Antarctic ice sheet and are the result of unusual snow accumulation and redistribution processes. They therefore are important to surface mass balance and ice core interpretation. Field observations (GPS, GPR, and surface measurements) have provided a detailed description of megadune sedimentation and morphology over a 70 km(2) area, located 200 km east of Dome C. A combination of remote sensing analysis (using Landsat and satellite radar altimetry) and field measurements indicate that slope in the prevailing wind direction (SPWD) and climatic conditions play a crucial role in megadune genesis. The megadune areas tend to be characterized by slightly steeper regional slope and the presence of highly persistent katabatic winds. The megadunes represent 2 to 4 m amplitude waves of 2 to 5 km wavelength formed by variable net accumulation, ranging between 25% (leeward faces) to 120% (windward faces) of the accumulation in adjacent nonmegadune areas. Leeward faces are characterized by glazed, sastrugi-free surfaces and extensive depth hoar formation. Windward faces are covered by large rough sastrugi up to 1.5 m in height.</t>
  </si>
  <si>
    <t>Ente Nuove Tecnol Energia &amp; Ambiente, I-00100 Rome, AD, Italy; Univ Bologna, Dipartimento Ingn Strutture Trasporti Acque Rilev, I-40136 Bologna, Italy; Univ Genoa, Ist Nazl Geofis &amp; Vulcanol, Dipartimento Studio Terr &amp; Risorse, I-16134 Genoa, Italy</t>
  </si>
  <si>
    <t>Italian National Agency New Technical Energy &amp; Sustainable Economics Development; University of Bologna; University of Genoa; Istituto Nazionale Geofisica e Vulcanologia (INGV)</t>
  </si>
  <si>
    <t>Ente Nuove Tecnol Energia &amp; Ambiente, POB 2400, I-00100 Rome, AD, Italy.</t>
  </si>
  <si>
    <t>frezzotti@casaccia.enea.it</t>
  </si>
  <si>
    <t>FREZZOTTI, Massimo/AAK-7275-2020; Gandolfi, Stefano/A-4892-2016</t>
  </si>
  <si>
    <t>FREZZOTTI, Massimo/0000-0002-2461-2883; Gandolfi, Stefano/0000-0003-2096-5670; urbini, stefano/0000-0002-8053-4197</t>
  </si>
  <si>
    <t>D18</t>
  </si>
  <si>
    <t>10.1029/2001JD000673</t>
  </si>
  <si>
    <t>635YH</t>
  </si>
  <si>
    <t>WOS:000180427400010</t>
  </si>
  <si>
    <t>Grossmann, KU; Offermann, D; Gusev, O; Oberheide, J; Riese, M; Spang, R</t>
  </si>
  <si>
    <t>The CRISTA-2 mission</t>
  </si>
  <si>
    <t>CRYOGENIC INFRARED SPECTROMETERS; NONLOCAL THERMODYNAMIC-EQUILIBRIUM; MIDDLE ATMOSPHERE; MU-M; STRATOSPHERE; TEMPERATURE; TELESCOPES; OZONE; WAVES; MESOSPHERE</t>
  </si>
  <si>
    <t>[1] The second mission of the CRyogenic Infrared Spectrometers and Telescopes for the Atmosphere (CRISTA) experiment took place in August 1997. The experiment was flown aboard the ASTROnomical Shuttle PAllet Satellite (ASTRO-SPAS) free-flying platform launched by the NASA space shuttle. CRISTA analyzes the infrared radiation emitted by trace gases from the Earth limb in the altitude regime from the upper troposphere to the lower thermosphere. The main aim of CRISTA is to detect small-scale dynamically induced structures in the distribution of trace constituents in the middle atmosphere. The instrument is therefore equipped with three telescopes that simultaneously collect the infrared radiation from three different air volumes. The high spatial density of the measurement grid obtained during the first CRISTA mission in November 1994, as well as the latitudinal coverage, was considerably improved by making use of newly developed satellite pointing and maneuvering capabilities. The altitude coverage was extended to include the upper troposphere where water vapor distributions are analyzed. Dynamically induced features are observed in practically all trace gases and at various spatial scales. The smallest scales that could be analyzed on the basis of the CRISTA data set are well below 100 km. Compared to the first mission, much more emphasis was laid on measurements in the upper mesosphere and lower thermosphere-this was possible because of higher radiometric sensitivities in some channels. Atomic oxygen, carbon dioxide, and ozone densities are derived in the upper mesosphere and lower thermosphere. The mission conditions allowed the study of polar stratospheric clouds (PSC) over the Antarctic and of polar mesospheric clouds (PMC) at high northern latitudes. For the first time, summer high latitude mesopause temperatures were retrieved from CO2 15-mum spectra using a nonlocal thermodynamic equilibrium model. The derived temperatures compare well with a temperature climatology based on rocket soundings.</t>
  </si>
  <si>
    <t>Berg Univ Wuppertal, Dept Phys, D-42097 Wuppertal, Germany</t>
  </si>
  <si>
    <t>University of Wuppertal</t>
  </si>
  <si>
    <t>Berg Univ Wuppertal, Dept Phys, Fachbereich 9, D-42097 Wuppertal, Germany.</t>
  </si>
  <si>
    <t>gross@wpos2.physik.uni-wupertal.de</t>
  </si>
  <si>
    <t>Riese, Martin/A-3927-2013; Oberheide, Jens/C-6156-2011; Spang, Reinhold/A-2738-2013</t>
  </si>
  <si>
    <t>Riese, Martin/0000-0001-6398-6493; Oberheide, Jens/0000-0001-6721-2540; Spang, Reinhold/0000-0002-2483-5761</t>
  </si>
  <si>
    <t>10.1029/2001JD000667</t>
  </si>
  <si>
    <t>637AT</t>
  </si>
  <si>
    <t>WOS:000180490000011</t>
  </si>
  <si>
    <t>Günther, G; McKenna, DS; Spang, R</t>
  </si>
  <si>
    <t>Meteorological conditions of the stratosphere for the CRISTA 2 campaign, August 1997 -: art. no. 8084</t>
  </si>
  <si>
    <t>CRISTA 2; satellite observations; Antarctic stratosphere; stratospheric meteorology; atmospheric transport; planetary waves</t>
  </si>
  <si>
    <t>TRAJECTORY CALCULATIONS; POTENTIAL VORTICITY; POLAR VORTEX; WINTER; SYSTEM</t>
  </si>
  <si>
    <t>[1] During the CRISTA 2 campaign in August 1997 the Antarctic polar vortex according to UK Met Office (UKMO) data was strong but temporarily disturbed by planetary waves. This winter was in general warmer than the five previous winters; nevertheless, temperatures cold enough to allow the formation of nitric acid trihydrate (NAT) and ice particles occurred throughout the period from mid-June to the end of August. The cold vortex core developed in the potential temperature range from 400 to 700 K at the beginning of the winter, initially centered at 600 K but slowly progressing downward to 450 K in the subsequent months. The vortex disturbances showed a clear zonal wave number 1 and 2 pattern. This planetary wave activity caused a strong day-to-day fluctuation of the vortex shape. During August when the second Cryogenic Infrared Spectrometers and Telescopes for the Atmosphere (CRISTA 2) mission took place the vortex was elongated toward the southern Atlantic Ocean, processing slowly eastward. The perturbation of the vortex was associated with air masses transported from middle and low latitudes into the polar region in small-scale streamers. Similarly, tongues of vortex air peeled off the vortex edge and moved equatorward, enhancing the exchange between polar regions and the tropics. In addition, the disturbance of the vortex led to the generation of filaments at the inner side of the vortex edge, thus covering the vortex interior with small-scale structures. A comparison between CRISTA observations and potential vorticity derived from UKMO data shows discrepancies concerning small-scale structures. High-resolution potential vorticity fields calculated from reverse domain filling trajectory simulations on isentropic surfaces based on horizontal winds from UKMO analyses and vertical motion from diabatic calculations are much more consistent with the measurements. Both observation and reverse domain filling (RDF) simulations show the strong atmospheric variability of this period of unusual enhanced planetary wave activity in the Southern Hemisphere.</t>
  </si>
  <si>
    <t>Forschungszentrum Julich, Inst STratospher Chem ICG1, D-52425 Julich, Germany; Univ Wuppertal, Dept Phys, Wuppertal, Germany</t>
  </si>
  <si>
    <t>Helmholtz Association; Research Center Julich; University of Wuppertal</t>
  </si>
  <si>
    <t>g.guenther@fz-juelich.de; danny@acd.ucar.edu; r.spang@le.ac.uk</t>
  </si>
  <si>
    <t>McKenna, Daniel/E-7806-2014; Guenther, Gebhard/K-7583-2012; Spang, Reinhold/A-2738-2013</t>
  </si>
  <si>
    <t>McKenna, Daniel/0000-0002-4360-4782; Guenther, Gebhard/0000-0003-4111-6221; Spang, Reinhold/0000-0002-2483-5761</t>
  </si>
  <si>
    <t>10.1029/2001JD000692</t>
  </si>
  <si>
    <t>WOS:000180490000012</t>
  </si>
  <si>
    <t>Lubin, D; Ricchiazzi, P; Payton, A; Gautier, C</t>
  </si>
  <si>
    <t>Significance of multidimensional radiative transfer effects measured in surface fluxes at an Antarctic coastline</t>
  </si>
  <si>
    <t>Antarctica; shortwave radiation; clouds; three-dimensional radiative transfer</t>
  </si>
  <si>
    <t>UV IRRADIANCE; ALBEDO; STATION; CLOUDS; SNOW</t>
  </si>
  <si>
    <t>[1] At a coastal high-latitude site, multiple reflection of photons between the high albedo surface and an overlying cloud can enhance the downwelling shortwave flux out over the adjacent open water to a distance of several kilometers. This coastal albedo effect has been predicted by theoretical radiative transfer studies and has also been measured under ideal conditions. In this study, three multispectral solar ultraviolet radiometers were deployed in the vicinity of Palmer Station, Antarctica (64degrees 46'S, 64degrees 04'W) to determine the prevalence of the coastal albedo effect under the region's natural variability in cloud cover. One radiometer was deployed near the base of a glacier, and the other two radiometers were deployed on Janus Island and Outcast Island, islets similar to2.8 km (1.5 nautical miles) and 5.6 km (3 nautical miles) distant from Palmer Station, respectively. The radiometers were operated simultaneously for 16 days during late December 1999 and January 2000. Under all cloudy sky conditions sampled by this experiment the coastal albedo effect is seen in the data 60% of the time, in the form of a decreasing gradient in surface flux from Palmer Station through Janus and Outcast Islands. During the other 40% of the cloudy sky measurements, local cloud inhomogeneity obscured the coastal albedo effect. The effect is more apparent under overcast layers that appear spatially uniform and occurs 86% of the time under the low overcast decks sampled. The presence of stratus fractus of bad weather, under higher overcast layers, obscures the coastal albedo effect such that it occurs only 43% of the time. A wavelength dependence is noted in the data under optically thin cloud cover: the ratio of a flux measured at an islet to that measured at the station increases with wavelength. This wavelength dependence can be explained by plane-parallel radiative transfer theory.</t>
  </si>
  <si>
    <t>Univ Calif San Diego, Scripps Inst Oceanog, La Jolla, CA 92093 USA; Univ Calif Santa Barbara, Santa Barbara, CA 93111 USA</t>
  </si>
  <si>
    <t>University of California System; University of California San Diego; Scripps Institution of Oceanography; University of California System; University of California Santa Barbara</t>
  </si>
  <si>
    <t>Lubin, D (corresponding author), Univ Calif San Diego, Scripps Inst Oceanog, La Jolla, CA 92093 USA.</t>
  </si>
  <si>
    <t>McComiskey, Allison C/I-3933-2013</t>
  </si>
  <si>
    <t>McComiskey, Allison C/0000-0002-6125-742X</t>
  </si>
  <si>
    <t>0747-7309</t>
  </si>
  <si>
    <t>D19</t>
  </si>
  <si>
    <t>10.1029/2001JD002030</t>
  </si>
  <si>
    <t>635YT</t>
  </si>
  <si>
    <t>WOS:000180428300054</t>
  </si>
  <si>
    <t>Nedoluha, GE; Bevilacqua, RM; Hoppel, KW</t>
  </si>
  <si>
    <t>POAM III measurements of dehydration in the Antarctic and comparisons with the Arctic</t>
  </si>
  <si>
    <t>stratospheric water vapor; polar dehydration; polar vortex</t>
  </si>
  <si>
    <t>POLAR VORTEX; OZONE; STRATOSPHERE; WINTER</t>
  </si>
  <si>
    <t>We present measurements of stratospheric water vapor taken at high northern and southern latitudes by the Polar Ozone and Aerosol Measurement (POAM) III instrument. The measurements show the seasonal variations in both hemispheres, including wintertime descent in the polar vortices and dehydration in the Antarctic. While POAM is unable to measure in regions with high aerosol extinction and can therefore not measure the temporary sequestration of water in ice clouds, POAM can measure the effects of such dehydration events if they result in the permanent removal of water vapor from an air parcel. A study of POAM matches, where the same parcel is observed more than once by the POAM instrument, shows significant permanent dehydration in the Antarctic for nearly all cases in which the parcel is either exposed to conditions where the mixing ratio either exceeds the saturation mixing ratio by &gt;2 ppmv or experiences temperatures that remain below the saturation temperature for &gt;2 days. These POAM matches suggest that parcels undergo several episodes of dehydration before their water vapor mixing ratio is reduced to the 1-2 ppmv level typically observed within the vortex in the Antarctic spring. Interannual differences in Antarctic vortex temperatures are shown to be qualitatively consistent with interannual differences in dehydration observed by POAM. Although analyses of parcels observed by POAM in the Arctic indicate that a few of these parcels experience conditions which generally cause permanent dehydration in the Antarctic, no significant permanent dehydration is observed in the POAM Arctic measurements.</t>
  </si>
  <si>
    <t>USN, Res Lab, Washington, DC 20375 USA</t>
  </si>
  <si>
    <t>United States Department of Defense; United States Navy; Naval Research Laboratory</t>
  </si>
  <si>
    <t>Nedoluha, GE (corresponding author), USN, Res Lab, 4555 Overlook Ave, Washington, DC 20375 USA.</t>
  </si>
  <si>
    <t>D20</t>
  </si>
  <si>
    <t>10.1029/2001JD001184</t>
  </si>
  <si>
    <t>636PY</t>
  </si>
  <si>
    <t>WOS:000180466200068</t>
  </si>
  <si>
    <t>Öllers, MC; van Velthoven, PFJ; Kelder, HM; Kamp, LPJ</t>
  </si>
  <si>
    <t>A study of the leakage of the Antarctic polar vortex in late austral winter and spring using isentropic and 3-D trajectories -: art. no. 4328</t>
  </si>
  <si>
    <t>polar vortex; stratospheric mixing and transport; planetary waves; ozone hole</t>
  </si>
  <si>
    <t>WAUBEN,WIEL,M.F. ET-AL; INTERANNUAL VARIABILITY; OZONE HOLE; STRATOSPHERE; TRANSPORT; HEMISPHERE; DEPLETION; MAGNITUDE; BREAKING; DYNAMICS</t>
  </si>
  <si>
    <t>The permeability of the Antarctic polar vortex is investigated in late austral winter and spring by comparing isentropic and three-dimensional (3-D) trajectories. Trajectory computations were performed with the help of the Royal Dutch Meteorological Institute (KNMI) trajectory model, using data from the European Centre for Medium-Range Weather Forecasts (ECMWF) from August to November 1998. Large numbers of air parcels were initially released inside and outside the polar vortex on the 350, 450, and 550 K isentropic surfaces. They were integrated 4 months forward in time in an isentropic mode, as well as in a 3-D mode that uses all three wind components from the ECMWF and takes into account diabatic heating and cooling effects. For the isentropic trajectory calculations, very little transport (0.37%/week) was found for August and September, while October and November gave somewhat higher transport rates (1.95%/week). The 3-D trajectory calculations for October gave much more exchange between the vortex and midlatitudes than the isentropic ones owing to a significant number of parcels that descended inside the vortex. Descent rates were calculated for 350 K (October), 450 K (August-October) and 550 K (October). Overall, the results show that 3-D trajectories will provide more accurate leakage rates than the isentropic ones. Also, despite the large-scale mixing in the polar vortex or in midlatitudes, little ozone-depleted air leaks from the ozone hole into the midlatitude stratosphere.</t>
  </si>
  <si>
    <t>Eindhoven Univ Technol, Dept Appl Phys, NL-5600 MB Eindhoven, Netherlands; Royal Dutch Meteorol Inst, NL-3730 AE De Bilt, Netherlands</t>
  </si>
  <si>
    <t>Eindhoven University of Technology; Royal Netherlands Meteorological Institute</t>
  </si>
  <si>
    <t>Öllers, MC (corresponding author), Eindhoven Univ Technol, Dept Appl Phys, POB 513, NL-5600 MB Eindhoven, Netherlands.</t>
  </si>
  <si>
    <t>Kamp, Leon/0000-0003-0626-3832</t>
  </si>
  <si>
    <t>D17</t>
  </si>
  <si>
    <t>10.1029/2001JD001363</t>
  </si>
  <si>
    <t>635YF</t>
  </si>
  <si>
    <t>WOS:000180427200008</t>
  </si>
  <si>
    <t>Pan, LL; Randel, WJ; Massie, ST; Kanzawa, H; Sasano, Y; Nakajima, H; Yokota, T; Sugita, T</t>
  </si>
  <si>
    <t>Variability of polar stratospheric water vapor observed by ILAS</t>
  </si>
  <si>
    <t>LIMB ATMOSPHERIC SPECTROMETER; VORTEX; BUDGET; DEHYDRATION; TRANSPORT; HYDROGEN; AIR</t>
  </si>
  <si>
    <t>[1] We present an analysis of polar stratospheric water vapor from measurements of the Improved Limb Atmospheric Spectrometer (ILAS) onboard the Advanced Earth Observing Satellite (ADEOS). The variability of water vapor is examined using contemporaneous potential vorticity fields to separate the vortex from the extravortex air. The overall water vapor distribution from the ILAS measurements agrees qualitatively with the water vapor climatology in the UARS reference atmosphere (covering 19921999), and the space-time variability is consistent with the known stratospheric circulation. Quantitatively, comparisons between ILAS and Halogen Occultation Experiment (HALOE) equivalent latitude zonal means show agreement to within 5% in the lower stratosphere (400-800 K potential temperature or 15-30 km). In the upper stratosphere (800-1800 K potential temperature or 30-45 km), however, ILAS data have a 10% to 20% high bias compared to the 8-year (1992-1999) UARS climatology and to HALOE data for the same time period. The ILAS data, covering the time period November 1996 to June 1997, were measured during a winter-spring period when the Arctic polar stratosphere was anomalously cold. The ILAS water vapor data suggest an Arctic vortex that is more isolated and persistent in the spring than that seen in the UARS climatology. The spatial and temporal extent of the Arctic vortex this year was very similar to that of the Antarctic vortex. This feature is supported by HALOE data for the same measurement period. Using a trajectory model, we show that the NH vortex in spring 1997 was significantly more isolated compared to other years in the decade, and this explains the unusual confinement of high water vapor within the Arctic vortex observed by ILAS.</t>
  </si>
  <si>
    <t>Natl Ctr Atmospher Res, Boulder, CO 80305 USA; Natl Inst Environm Studies, Tsukuba, Ibaraki, Japan</t>
  </si>
  <si>
    <t>National Center Atmospheric Research (NCAR) - USA; National Institute for Environmental Studies - Japan</t>
  </si>
  <si>
    <t>Natl Ctr Atmospher Res, 1850 Table Mesa Dr, Boulder, CO 80305 USA.</t>
  </si>
  <si>
    <t>liwen@ucar.edu</t>
  </si>
  <si>
    <t>Sugita, Takafumi/H-6669-2018; Pan, Laura L/A-9296-2008; Nakajima, Hideaki/M-8845-2019; Randel, William J/K-3267-2016; Sasano, Yasuhiro/AAL-8184-2020</t>
  </si>
  <si>
    <t>Pan, Laura L/0000-0001-7377-2114; Nakajima, Hideaki/0000-0002-2742-1230; Sasano, Yasuhiro/0000-0001-7470-5642; Sugita, Takafumi/0000-0002-0508-7040</t>
  </si>
  <si>
    <t>10.1029/2001JD001164</t>
  </si>
  <si>
    <t>WOS:000180491900011</t>
  </si>
  <si>
    <t>Furevik, T; Bentsen, M; Drange, H; Johannessen, JA; Korablev, A</t>
  </si>
  <si>
    <t>Temporal and spatial variability of the sea surface salinity in the Nordic Seas</t>
  </si>
  <si>
    <t>Nordic Seas; surface salinity; convection; fronts; interannual variability</t>
  </si>
  <si>
    <t>ADVECTION TRANSPORT ALGORITHM; NORTH-ATLANTIC; UPPER OCEAN; MODEL; ICE; TEMPERATURES; FLUXES; WATER</t>
  </si>
  <si>
    <t>[1] In this paper, the temporal and spatial variability of the sea surface salinity (SSS) in the Nordic Seas is investigated. The data include a Russian hydrographical database for the Nordic Seas and daily to weekly observations of salinity at Ocean Weather Station Mike (OWSM) (located at 66 degreesN, 2 degreesE in the Norwegian Sea). In addition, output from a medium-resolution version of the Miami Isopycnic Coordinate Ocean Model (MICOM), forced with daily National Center for Environmental Prediction/National Center for Atmospheric Research (NCEP/NCAR) reanalysis data, is used to complement the analysis of the temporal and spatial fields constructed from the observational data sets. The Nordic Seas show a strong seasonal variability in the vertical density stratification and the mixed layer (ML) depth, with a weak stratification and a several hundred meters deep ML during winter and a well-defined shallow ML confined to the upper few tens of meters during summer. The seasonal variability strongly influences the strength of the high-frequency variability and to what extent subsurface anomalies are isolated from the surface. High-frequency variability has been investigated in terms of standard deviation of daily SSS, calculated for the different months of the year. From observations at OWSM, typical winter values range from 0.03 to 0.04 psu and summer values range from 0.06 to 0.07 psu. Results from the model simulation show that highest variability is found in frontal areas and in areas with strong stratification and lowest variability in the less stratified areas in the central Norwegian Sea and south of Iceland. Investigation of the interannual variability over the last 50 years shows a marked freshening of the Atlantic Water in the Norwegian and Greenland Seas. Moreover, the strength of the southern sector of the Polar front, as defined by the 34.8-35.0 psu isohalines along the western boundary of the inflowing Atlantic Water, undergoes significant interannual variability with gradient stretching reaching up to 300 km. In comparison, the variability in the strength of the eastern front and northern sector of the Polar front, seemingly controlled by the shelf break off Norway and the ridge between the Norwegian and the Greenland Seas, typically undergoes stretching only between 60 and 80 km. The investigation also demonstrates that the low-frequency variability in the upper ocean density field in the Greenland Sea, a key factor for the deep water convection, is governed by the variability in the sea surface field. Since the early 1960s, there has been a negative trend in the salinity, probably contributing to the observed decrease in the deep water production in that period.</t>
  </si>
  <si>
    <t>Nansen Environm &amp; Remote Sensing Ctr, Bergen, Norway; Univ Bergen, Inst Geophys, Bergen, Norway; Arctic &amp; Antarctic Res Inst, St Petersburg 199226, Russia</t>
  </si>
  <si>
    <t>Nansen Environmental &amp; Remote Sensing Center (NERSC); University of Bergen; Arctic &amp; Antarctic Research Institute</t>
  </si>
  <si>
    <t>Furevik, T (corresponding author), Nansen Environm &amp; Remote Sensing Ctr, Bergen, Norway.</t>
  </si>
  <si>
    <t>Furevik, Tore/0000-0002-1668-2785; Korablev, Alexander/0000-0002-1435-2969</t>
  </si>
  <si>
    <t>SEP-NOV</t>
  </si>
  <si>
    <t>10.1029/2001JC001118</t>
  </si>
  <si>
    <t>638ME</t>
  </si>
  <si>
    <t>WOS:000180574100009</t>
  </si>
  <si>
    <t>García, MA; Bladé, I; Cruzado, A; Velásquez, Z; García, H; Puigdefàbregas, J; Sospedra, J</t>
  </si>
  <si>
    <t>Observed variability of water properties and transports on the World Ocean Circulation Experiment SR1b section across the Antarctic Circumpolar Current -: art. no. 3162</t>
  </si>
  <si>
    <t>WOCE; Southern Ocean; Antarctic Circumpolar Current; water masses; fronts; transports</t>
  </si>
  <si>
    <t>DRAKE PASSAGE; SOUTHERN-OCEAN; ZONATION</t>
  </si>
  <si>
    <t>R/V Hesperides occupied the World Ocean Circulation Experiment SR1b repeat section across the Scotia Sea in February 1995, February 1996, and February 1998. On each cruise the same set of 21 hydrographic stations with characteristic spacing &lt;20 nautical miles was visited. The results of the three surveys display a characteristic zonation of water masses in the region, which is defined by four hydrographic fronts. The net geostrophic transport of the Antarctic Circumpolar Current (ACC) across SR1b, computed with reference to the deepest common depth of each pair of adjacent stations, is similar in all three cruises, 144 Sv in February 1995, 131 Sv in February 1996, and 134 Sv in February 1998, and compares well with earlier computations of the ACC transport across Drake Passage. A close comparison of the vertical distributions of water properties on SR1b reveals changes in the structure of the ACC that are linked to undersampled current mesoscale activity, as suggested by infrared satellite images contemporary to the cruises. The most remarkable features are several hydrographic discontinuities'' observed in the Antarctic Zone south of the Southern ACC Front (SACCF), which are believed to be signatures of eddies produced east of the Shackleton Fracture Zone. The paper further addresses the different contribution of each ACC zonal band to the net geostrophic transport across SR1b on each Hesperides occupation.</t>
  </si>
  <si>
    <t>Univ Politecn Catalunya, ETS Engn Camins Canals &amp; Ports, Lab Engn Maritima, ES-08034 Barcelona, Spain; CSIC, Ctr Estudis Avancats Blanes, Blanes 17300, Girona, Spain; Univ Calif San Diego, Scripps Inst Oceanog, La Jolla, CA 92093 USA</t>
  </si>
  <si>
    <t>Universitat Politecnica de Catalunya; Consejo Superior de Investigaciones Cientificas (CSIC); CSIC - Centre d'Estudis Avancats de Blanes (CEAB); University of California System; University of California San Diego; Scripps Institution of Oceanography</t>
  </si>
  <si>
    <t>mgarlop@ciccp.es</t>
  </si>
  <si>
    <t>Blade, Ileana/H-9348-2015</t>
  </si>
  <si>
    <t>Sospedra, Joaquim/0000-0003-4207-7922</t>
  </si>
  <si>
    <t>C10</t>
  </si>
  <si>
    <t>10.1029/2000JC000277</t>
  </si>
  <si>
    <t>638JN</t>
  </si>
  <si>
    <t>WOS:000180568000038</t>
  </si>
  <si>
    <t>Mauritzen, C; Polzin, KL; McCartney, MS; Millard, RC; West-Mack, DE</t>
  </si>
  <si>
    <t>Evidence in hydrography and density fine structure for enhanced vertical mixing over the Mid-Atlantic Ridge in the western Atlantic</t>
  </si>
  <si>
    <t>diapycnal mixing; fine structure; recirculation; Mid-Atlantic Ridge (MAR); hydrography; silicate</t>
  </si>
  <si>
    <t>TROPICAL NORTH-ATLANTIC; ANTARCTIC BOTTOM WATER; VEMA FRACTURE-ZONE; LABRADOR SEA-WATER; BOUNDARY CURRENT; DEEP-WATER; TURBULENT DISSIPATION; EQUATORIAL ATLANTIC; ABYSSAL OCEAN; DISTRIBUTIONS</t>
  </si>
  <si>
    <t>[1] Anomalous conditions exist in the salinity, oxygen, and nutrient fields over the western flank of the Northern Hemisphere Mid-Atlantic Ridge. We examine possible advective sources for this anomaly, but determine that vertical mixing is the most likely cause. We proceed to use knowledge gained from the Brazil Basin Tracer Release Experiment in the South Atlantic (where microstructure and fine structure were obtained to explore the intensity, spatial distribution, and mechanisms of mixing in the deep ocean) to interpret density fine structure from common conductivity-temperature-depth data in the North Atlantic. These data support the hypothesis that the anomalous hydrographic conditions are associated with enhanced levels of vertical mixing. The inferred levels of vertical diffusivity over the Northern Hemisphere Mid-Atlantic Ridge are as high as in the South Atlantic: 1-10 x 10-(4) m(2)/s.</t>
  </si>
  <si>
    <t>Woods Hole Oceanog Inst, Dept Phys Oceanog, Woods Hole, MA 02543 USA</t>
  </si>
  <si>
    <t>Norwegian Meteorol Inst, POB 43 Blindern, N-0313 Oslo, Norway.</t>
  </si>
  <si>
    <t>cecilie.mauritzen@met.no</t>
  </si>
  <si>
    <t>Mauritzen, Cecilie/G-7682-2019; Mauritzen, Cecilie/HKO-1954-2023; McCartney, Michael/A-3922-2009</t>
  </si>
  <si>
    <t>Mauritzen, Cecilie/0000-0001-5956-8811; Mauritzen, Cecilie/0000-0001-5956-8811; McCartney, Michael/0000-0002-3413-7166</t>
  </si>
  <si>
    <t>10.1029/2001JC001114</t>
  </si>
  <si>
    <t>WOS:000180568000023</t>
  </si>
  <si>
    <t>Rintoul, SR; Sokolov, S; Church, J</t>
  </si>
  <si>
    <t>A 6 year record of baroclinic transport variability of the Antarctic Circumpolar Current at 140°E derived from expendable bathythermograph and altimeter measurements -: art. no. 3155</t>
  </si>
  <si>
    <t>baroclinic transport; Antarctic Circumpolar Current; interannual variability; satellite altimeter; XBT</t>
  </si>
  <si>
    <t>DRAKE PASSAGE; CIRCULATION MODEL; MOMENTUM BALANCE; PRESSURE; WIND; TOPEX/POSEIDON; TASMANIA; WAVE</t>
  </si>
  <si>
    <t>Repeat hydrographic sections across the Antarctic Circumpolar Current are used to derive an empirical relationship between upper ocean temperature and the baroclinic transport stream function. Cross validation shows this relationship can be used to infer baroclinic transport (above and relative to 2500 dbar) from temperature measurements with an error of a few per cent. The mean transport distribution derived from 31 austral summer expendable bathythermograph (XBT) sections over a 6 year period consists of westward flow immediately south of Tasmania, a broad band of strong eastward flow between 50degrees and 55degreesS, and three cores of eastward flow south of 55degreesS. By defining a second empirical relationship between surface dynamic height and cumulative transport a continuous time series of baroclinic transport is derived from altimeter measurements of sea surface height. Transports derived from altimetry in this way agree well with simultaneous in situ estimates (root mean square error in net transport is 4x10(6) m(3) s(-1)), suggesting sea level anomalies largely reflect baroclinic changes above 2500 dbar. The 10 day sampling of the altimeter transport time series shows the irregular XBT sampling aliases variability at unresolved timescales. The standard deviation of net transport above and relative to 2500 m is 4.3x10(6) m(3) s(-1). The variability in net transport is largest (2.7x10(6) m(3) s(-1)) in the quasi-annual band (periods of 4 months to 1.5 years), slightly smaller (2.3x10(6) m(3) s(-1)) in the mesoscale band (&lt;4 months), and smallest in the interannual band (&gt;1.5 years, 1.5x10(6) m(3) s(-1)). Changes in transport are correlated with local changes in both wind stress and wind stress curl in the quasi-annual and interannual bands, but the transport time series is too short to draw significant conclusions.</t>
  </si>
  <si>
    <t>CSIRO Marine Res, Hobart, Tas 7001, Australia; Antarctic Cooperat Res Ctr, Hobart, Tas 7001, Australia</t>
  </si>
  <si>
    <t>CSIRO Marine Res, GPO Box 1538, Hobart, Tas 7001, Australia.</t>
  </si>
  <si>
    <t>steve.rintoul@csiro.au; serguei.sokolov@csiro.au</t>
  </si>
  <si>
    <t>Sokolov, Serguei/A-4882-2008; Rintoul, Stephen R/A-1471-2012; Church, John A/A-1541-2012</t>
  </si>
  <si>
    <t>Rintoul, Stephen R/0000-0002-7055-9876; Church, John A/0000-0002-7037-8194</t>
  </si>
  <si>
    <t>10.1029/2001JC000787</t>
  </si>
  <si>
    <t>WOS:000180568000031</t>
  </si>
  <si>
    <t>Sun, C; Watts, DR</t>
  </si>
  <si>
    <t>Heat flux carried by the Antarctic Circumpolar Current mean flow</t>
  </si>
  <si>
    <t>ACC; heat flux; GEM</t>
  </si>
  <si>
    <t>GRAVEST EMPIRICAL MODE; SOUTH-ATLANTIC OCEAN; TRANSPORT</t>
  </si>
  <si>
    <t>[1] A stream function projection of historical hydrographic data is applied to study the heat flux problem in the Antarctic Circumpolar Current (ACC). The ACC is defined as a circumpolar band consisting of mean streamlines passing through Drake Passage. Its mean path exhibits a globally meandering pattern. The calculation of zonal heat transport shows that the ACC warms along its equatorward segments (South Atlantic and Indian Ocean) and cools along its poleward segment (South Pacific). The primary heat sources for the ACC system are two western boundary currents, the Brazil Current and the Agulhas Current. The mean baroclinic flow relative to 3000 dbar carries 0.14 PW poleward heat flux across 56 degreesS and 0.08 PW across 60degreesS.</t>
  </si>
  <si>
    <t>Natl Ocean &amp; Atmospher Adm, Geophys Fluid Dynam Lab, Princeton, NJ 08542 USA; Univ Rhode Isl, Grad Sch Oceanog, Narragansett, RI 02882 USA</t>
  </si>
  <si>
    <t>National Oceanic Atmospheric Admin (NOAA) - USA; University of Rhode Island</t>
  </si>
  <si>
    <t>Natl Ocean &amp; Atmospher Adm, Geophys Fluid Dynam Lab, POB 308, Princeton, NJ 08542 USA.</t>
  </si>
  <si>
    <t>cns@gfdl.noaa.gov; rwatts@gso.uri.edu</t>
  </si>
  <si>
    <t>Sun, Che/0000-0002-4223-293X</t>
  </si>
  <si>
    <t>C9</t>
  </si>
  <si>
    <t>10.1029/2001JC001187</t>
  </si>
  <si>
    <t>638AM</t>
  </si>
  <si>
    <t>WOS:000180546200002</t>
  </si>
  <si>
    <t>White, WB; Chen, SC; Allan, RJ; Stone, RC</t>
  </si>
  <si>
    <t>Positive feedbacks between the Antarctic Circumpolar Wave and the global El Nino-Southern Oscillation Wave</t>
  </si>
  <si>
    <t>ACW; ENSO; teleconnections; ocean-atmosphere coupling</t>
  </si>
  <si>
    <t>SEA-SURFACE TEMPERATURE; OCEAN; ATMOSPHERE; CIRCULATION; VARIABILITY; PRESSURE; WIND</t>
  </si>
  <si>
    <t>Atmospheric and oceanic teleconnections link the Antarctic Circumpolar Wave (ACW) in the Southern Ocean [White and Peterson, 1996] and the global El Nino Southern Oscillation (ENSO) wave (GEW) in the tropical Indo-Pacific Ocean [White and Cayan, 2000], both signals characterized by eastward phase propagation and 3- to 5-year-period variability. We extend the tropical standing mode of ENSO into the extratropics by regressing the Nino-3 sea surface temperature (SST) index against sea level pressure (SLP) anomalies over the globe, finding the Pacific-South America (PSA) pattern in SLP anomaly [Cai and Baines, 2001] straddling Drake Passage in the Southern Ocean. The amplitude of this PSA pattern is similar to1/3 that of the ACW in this domain and thus cannot be considered its principal driver. On the other hand, suppressing the tropical standing mode of ENSO in interannual ST (surface temperature) and SLP anomalies over the globe allows the GEW to be observed much more readily, whereupon its eastward phase propagation across the Warm Pool is found to remotely force the ACW in the eastern Pacific and western Atlantic sectors of the Southern Ocean through atmospheric teleconnections [Sardeshmukh and Hoskins, 1988] which propagate along with it. Subsequently, the ACW propagates this imposed GEW signal throughout the remainder of the Southern Ocean as a coupled wave in covarying ST and SLP anomalies, whereupon entering the Indian sector 1.5 to 2.5 years later it spawns a northern branch which takes another 1.5 to 2.5 years to propagate the ACW signal equatorward into the Warm Pool south of Indonesia. There it interferes constructively with the GEW. Thus the two forms of teleconnection, one fast and directed from the tropics to the high southern latitudes via the atmosphere and the other slow and directed from the high southern latitudes to the tropics via the ocean, complete a global circuit of 3- to 5-year duration that reinforces both the ACW and GEW and influences the tropical standing mode of ENSO.</t>
  </si>
  <si>
    <t>Univ Calif San Diego, Scripps Inst Oceanog, La Jolla, CA 92093 USA; CSIRO Atmospher Res, Aspendale, Vic, Australia; Queensland Dept Primary Ind, Queensland Ctr Climate Applicat, Toowoomba, Qld 4350, Australia</t>
  </si>
  <si>
    <t>University of California System; University of California San Diego; Scripps Institution of Oceanography; Commonwealth Scientific &amp; Industrial Research Organisation (CSIRO); Queensland Department of Agriculture &amp; Fisheries</t>
  </si>
  <si>
    <t>wbwhite@ucsd.edu; schen@ucsd.edu; rjallan@meto.gov.uk; stoner@dpi.qld.gov.au</t>
  </si>
  <si>
    <t>Stone, Roger/0000-0003-3931-2661</t>
  </si>
  <si>
    <t>10.1029/2000JC000581</t>
  </si>
  <si>
    <t>WOS:000180568000042</t>
  </si>
  <si>
    <t>Rocchi, S; Armienti, P; D'Orazio, M; Tonarini, S; Wijbrans, JR; Di Vincenzo, G</t>
  </si>
  <si>
    <t>Cenozoic magmatism in the western Ross Embayment: Role of mantle plume versus plate dynamics in the development of the West Antarctic Rift System</t>
  </si>
  <si>
    <t>Antarctica; rift; magmatism; geochemistry; plume; geochronology</t>
  </si>
  <si>
    <t>NORTHERN VICTORIA-LAND; MARIE BYRD LAND; MCMURDO VOLCANIC GROUP; TRANSANTARCTIC MOUNTAINS; TRACE-ELEMENT; LITHOSPHERE INTERACTIONS; GEOCHEMICAL EVOLUTION; ALKALIC BASALTS; PACIFIC MARGIN; ISLAND BASALTS</t>
  </si>
  <si>
    <t>Geochemical and chronological data for Cenozoic plutons and dikes from northern Victoria Land (Antarctica), were used to propose a tectonic-magmatic model for this portion of the West Antarctic Rift System (WARS). The seven major plutons are compositionally bimodal, with gabbroic and syenitic portions. Among the 180 studied dikes, most are 1 m thick and have alkali basalt-basanite-tephrite compositions, along with minor intermediate rocks. Trachytic-rhyolitic dikes (up to 50 m thick) are by far less common. The 40Ar-39Ar data for dikes indicate middle Eocene to early Oligocene ages, the oldest found to date for igneous activity throughout the WARS. The geochronological-structural framework provides evidence for coeval emplacement of dikes on two main NW-SE and N-S striking trends, whereas plutonic-subvolcanic activity occurred in adjacent crustal sectors at different times. Mafic dikes display major and trace element distribution typical of basalts from oceanic islands, such as high ratios of Nb and Ta to large ion lithophile and heavy rare earth elements, coupled with prominent negative K and Pb anomalies in the primitive mantle-normalized multielement diagrams. Initial isotopic compositions are within the ranges of 0.70299-0.70372 for Sr-87/Sr-86 and 4.2- 6.3 for epsilon(Nd). These features are shared by younger Neogene lavas. Geochemical modeling for both mafic dikes and lavas indicates an enriched magma source characterized by a residual potassic hydrous phase, thus pointing out a mantle source nearly uniform throughout 50 m.y. Comparable geochemical signature are reported for the magma source of the other Cenozoic volcanic provinces of the WARS and the whole Antarctic Plate. The new data for the early igneous rocks of the rift put in evidence a chronologic-structural link between magmatic evolution, regional tectonics and plate dynamics which suggests a model for WARS magmatism that is alternative to current plume hypotheses. We propose that magma genesis and emplacement are related to reactivation of preexisting translithospheric faults, which promoted local decompression melting of an enriched mantle that was previously veined during the decompression episode associated with the amagmatic late Cretaceous extensional rift phase.</t>
  </si>
  <si>
    <t>Univ Pisa, Dipartimento Sci Terra, I-56126 Pisa, Italy; CNR, Ist Geosci &amp; Georisorse, I-56127 Pisa, Italy; Vrije Univ Amsterdam, Dept Isotope Geochem, NL-1081 Amsterdam, Netherlands</t>
  </si>
  <si>
    <t>University of Pisa; Consiglio Nazionale delle Ricerche (CNR); Istituto di Geoscienze e Georisorse (IGG-CNR); Vrije Universiteit Amsterdam</t>
  </si>
  <si>
    <t>Univ Pisa, Dipartimento Sci Terra, Via S Maria 53, I-56126 Pisa, Italy.</t>
  </si>
  <si>
    <t>rocchi@dst.unipi.it; armienti@dst.unipi.it; dorazio@dst.unipi.it; s.tonarini@igg.cnr.it; wijj@geo.vu.nl; g.divincenzo@igg.cnr.it</t>
  </si>
  <si>
    <t>Wijbrans, J.R./M-6067-2019; Wijbrans, Jan/Q-1914-2016; Rocchi, Sergio/A-7752-2018</t>
  </si>
  <si>
    <t>Wijbrans, Jan/0000-0002-8091-1239; Armienti, Pietro/0000-0002-5929-8222; DI VINCENZO, GIANFRANCO/0000-0002-9669-9789; D'Orazio, Massimo/0000-0003-1366-3260; Rocchi, Sergio/0000-0001-6868-1939</t>
  </si>
  <si>
    <t>B9</t>
  </si>
  <si>
    <t>10.1029/2001JB000515</t>
  </si>
  <si>
    <t>634WU</t>
  </si>
  <si>
    <t>WOS:000180366100019</t>
  </si>
  <si>
    <t>Munsami, V; Pinnock, M; Rodger, AS</t>
  </si>
  <si>
    <t>HF radar observation of field-aligned currents associated with quiet time transient flow bursts in the magnetosphere</t>
  </si>
  <si>
    <t>flow bursts; convection vortices; HF radar; field-aligned currents</t>
  </si>
  <si>
    <t>SUBSTORM CURRENT WEDGE; CENTRAL PLASMA SHEET; LOW-ENERGY PARTICLE; MAGNETIC-FIELD; BULK FLOWS; MAGNETOTAIL RECONNECTION; PI2 PULSATIONS; ION FLOW; GEOTAIL; WIND</t>
  </si>
  <si>
    <t>[1] The present study reveals the ionospheric signature of low level near-Earth flow burst activity in the central plasma sheet during a relatively quiet magnetosphere. Flow bursts were observed by Geotail in the near-Earth plasma sheet at (X = 17 R-E, Y = -6 R-E)(GSM), between 0300 and 0400 UT on 9 March 1997. Simultaneous observations of the solar wind conditions by the Wind satellite located 235 RE upstream, and of the southern auroral ionosphere, by the Sanae-Halley Super Dual Auroral Radar Network (SuperDARN) HF radar pair, offered a unique opportunity to investigate both the solar wind trigger and the related auroral ionospheric signature of these flow bursts. Although the prevailing solar wind conditions conformed to that expected for a quiescent magnetosphere, the solar wind dynamic pressure showed stepwise decreases, which gave rise to a near instantaneous observation of tailward flow bursts. Also, peak values in the local potential variation associated with the ionospheric convection during the quiet solar wind conditions exceeded 10 kV and therefore are not associated with viscous processes. We believe that the drop in solar wind pressure may have allowed the magnetosphere to relax into a lower metastable energy configuration. The associated reconfiguration of the magnetotail allows for the release or redistribution of stored magnetic energy, via magnetic reconnection, with the consequent observation of tailward flow bursts. The observations of earthward flow bursts, however, are thought to be a natural bimodal response of the magnetosphere to solar wind variations. Concurrent with these flow bursts in the magnetotail, we observed the development of convection vortices near the conjugate midnight auroral ionosphere, which are consistent with the flow of field-aligned currents. The spatial structure and the temporal locale of the convection vortices are suggestive of a small substorm current wedge.</t>
  </si>
  <si>
    <t>Hermanus Magnet Observ, ZA-7200 Hermanus, South Africa; British Antarctic Survey, Cambridge CB3 0ET, England</t>
  </si>
  <si>
    <t>Council for Scientific &amp; Industrial Research (CSIR) - South Africa; UK Research &amp; Innovation (UKRI); Natural Environment Research Council (NERC); NERC British Antarctic Survey</t>
  </si>
  <si>
    <t>Munsami, V (corresponding author), Hermanus Magnet Observ, POB 32, ZA-7200 Hermanus, South Africa.</t>
  </si>
  <si>
    <t>vmunsami@csir.co.za; mpi@pcmail.nerc-bas.ac.uk; asro@pcmail.nerc-bas.ac.uk</t>
  </si>
  <si>
    <t>A9</t>
  </si>
  <si>
    <t>10.1029/2001JA000185</t>
  </si>
  <si>
    <t>634MN</t>
  </si>
  <si>
    <t>WOS:000180343700008</t>
  </si>
  <si>
    <t>Heywood, KJ; King, BA</t>
  </si>
  <si>
    <t>Water masses and baroclinic transports in the South Atlantic and Southern oceans</t>
  </si>
  <si>
    <t>ANTARCTIC CIRCUMPOLAR CURRENT; WEDDELL-SEA; BOTTOM WATER; SOUTHWESTERN ATLANTIC; EQUATORIAL ATLANTIC; INTERMEDIATE WATER; WESTERN BOUNDARY; ARGENTINE BASIN; CIRCULATION; DEEP</t>
  </si>
  <si>
    <t>We describe the World Ocean Circulation Experiment (WOCE) A23 hydrographic section from Antarctica to Brazil, nominally along 35W. The section crossed the center of the Weddell Gyre, the Antarctic Circumpolar Current (ACC) and the Subtropical Gyre in the Argentine Basin. We precisely define the locations of fronts, the changes in water mass properties across them, and their transports. The Antarctic Slope Front was crossed above the continental slope of Antarctica, with a baroclinic transport of 4 Sv, part of the cyclonic Weddell Gyre circulation of 19 Sv. We repeated a section in the Weddell Sea occupied in 1973, and saw a marked warming of the inflowing Warm Deep Water layer by some 0.2degreesC, but no discernible change in the outflowing northern limb of the gyre. An inflow of recently ventilated water with the same characteristics as Weddell Sea Deep Water (WSDW) was observed flowing into the Weddell Sea from the east. The Weddell Front was crossed at 61degrees7'S and the Southern Boundary (SB) of the ACC (often referred to as the Scotia Front) at 58degrees38'S. Between these lay the Weddell-Scotia Confluence, contributing 16 Sv of eastward transport. The first crossing of the Southern ACC Front (SACCF) lay south of South Georgia at similar to55degrees30'S. It then wrapped anticyclonically around South Georgia and was encountered at 53degrees40'S before retroflecting and returning eastward at similar to53degrees30'S. The baroclinic transport was similar to15 Sv at each crossing. In this region the SACCF is most clearly identified by a decrease in the salinity of the temperature minimum layer. The core of the Polar Front (PF) lay at similar to49S where the isotherms plunged down sharply to the north, and transported 67 Sv. The PF and Subantarctic Front (SAF) were barely distinguishable with only one station clearly in the Polar Frontal Zone. The SAF, transporting 57 Sv, was encountered at similar to48degrees45'S where the subsurface salinity minimum of Antarctic Intermediate Water (AAIW) began to descend. The Subtropical Front (STF) marks the boundary between the waters of the subtropical gyre and the colder, fresher subantarctic waters to the south; its southernmost crossing was at 44-45S transporting similar to25 Sv. This is several hundred kilometers farther south than historical locations of the STF at this longitude. The Brazil Current Front (BCF) was encountered at similar to38S transporting 43 Sv. Whereas previous observations found the STF to be the primary means for eastward flow of the waters of the Brazil Current after it has separated from the coast, during A23 we find that the BCF carries the majority of this transport. A further Deep Front, possibly marking the center of the subtropical gyre, was crossed at 34degrees22'S associated with a transport of 2.5 Sv. In the western Vema Channel we encountered a recirculation of the Brazil Current, flowing to the northeast with a transport of 23 Sv. The section ended prematurely without crossing the Brazil Current. To close the subtropical gyre transport would require a Brazil Current significantly in excess of the historical estimates based on shallow reference levels. Both the SACCF and STF exhibited meanders probably caused by bathymetry. The STF meander may be caused by the eastern end of the circulation around the Zapiola Rise. Both the SB and PF had associated eddies. The SB had shed a cyclonic eddy to the north, which had subsequently been capped by local water. It transported 8 Sv azimuthally. The PF had shed an anticyclonic eddy to the south, which was also capped and circulated at least 3 Sv. A small anticyclonic subsurface lens of AAIW was observed in the Vema Channel with a transport of the order of I Sv. In the Vema Channel, a level of no motion between the North Atlantic Deep Water and the Lower Circumpolar Deep Water (LCDW) gives a net northward flow of 1.2 Sv WSDW and 4 Sv LCDW from the Argentine to the Brazil Basin.</t>
  </si>
  <si>
    <t>Univ E Anglia, Sch Environm Sci, Norwich NR4 7TJ, Norfolk, England; Southampton Oceanog Ctr, Southampton SO14 3ZH, Hants, England</t>
  </si>
  <si>
    <t>University of East Anglia; NERC National Oceanography Centre; University of Southampton</t>
  </si>
  <si>
    <t>Heywood, KJ (corresponding author), Univ E Anglia, Sch Environm Sci, Norwich NR4 7TJ, Norfolk, England.</t>
  </si>
  <si>
    <t>Heywood, Karen/L-1757-2016</t>
  </si>
  <si>
    <t>Heywood, Karen/0000-0001-9859-0026</t>
  </si>
  <si>
    <t>KLINE GEOLOGY LABORATORY</t>
  </si>
  <si>
    <t>YALE UNIV, NEW HAVEN, CT 06520-8109 USA</t>
  </si>
  <si>
    <t>10.1357/002224002762688687</t>
  </si>
  <si>
    <t>649LH</t>
  </si>
  <si>
    <t>WOS:000181209600001</t>
  </si>
  <si>
    <t>Hoppema, M; de Baar, HJW; Fahrbach, E; Bellerby, RGJ</t>
  </si>
  <si>
    <t>Renewal time and transport of unventilated Central Intermediate Water of the Weddell Sea derived from biogeochemical properties</t>
  </si>
  <si>
    <t>TOTAL CARBON-DIOXIDE; SOUTHERN-OCEAN; DEEP-WATER; REDFIELD RATIOS; GYRE; CIRCULATION; ATLANTIC; CO2; REMINERALIZATION; BALANCE</t>
  </si>
  <si>
    <t>We have investigated the intermediate water mass of the central Weddell Gyre using TCO2 and oxygen data of FS Polarstern cruises in 1992, 1996 and 1998. This water mass, designated as Central Intermediate Water (CIW), is enriched in CO2 and depleted in O-2 relative to its source water due to biological degradation. CO2 enrichment and O-2 depletion were quantified by calculating the difference between the concentrations in the CIW and those in the, more southern source water, the Circumpolar Deep Water, which derives from the Antarctic Circumpolar Current. Inventories of enrichment and depletion were determined over the whole depth range of CIW, i.e. about 200800 m. The O-2 depletion inventory was greater than that of TCO2 enrichment which is in line with a biological origin of the signal. Spatial and interannual variation appeared to be small. Because subsurface remineralization in the central Weddell Gyre is largely restricted to the CIW, the export production estimate from previous work has been applied to compute the renewal time of CIW from these inventories. A renewal time of only three years was found. TCO2- and O-2-based computations were consistent, the former showing larger variation, though. From renewal time and volume of the CIW, a transport velocity (renewal rate) of 6-7 Sv was obtained. Of this, about I Sv is upwelled into the surface layer. The remaining 5-6 Sv CIW must be exported to the north, which is opposite to previous views. Results of water mass age and transport rate have thus been obtained using a method based on biogeochemical parameters. As the CIW cannot be identified by temperature and salinity, nor with transient tracers because it is hardly ventilated, this is the only way to obtain such results. As part of the CIW export, a large amount of remineralized CO2 enters the abyssal oceans where it is sequestered for long periods of time. The CIW is a principal and highly efficient player in the biological pump mechanism of the Southern Ocean.</t>
  </si>
  <si>
    <t>Univ Bremen, Inst Environm Phys, Dept Oceanog, FBI, D-28334 Bremen, Germany; Royal Netherlands Inst Sea Res, Dept Marine Chem &amp; Geol, NL-1790 AB Den Burg, Netherlands; Univ Bergen, Bjerknes Ctr Climate Res, Inst Geophys, N-5007 Bergen, Norway</t>
  </si>
  <si>
    <t>University of Bremen; Utrecht University; Royal Netherlands Institute for Sea Research (NIOZ); University of Bergen; Bjerknes Centre for Climate Research</t>
  </si>
  <si>
    <t>Alfred Wegener Inst Polar &amp; Marine Res, Dept Climate Syst, POB 12016, D-27515 Bremerhaven, Germany.</t>
  </si>
  <si>
    <t>mhoppema@awi-bremerhaven.de</t>
  </si>
  <si>
    <t>Bellerby, Richard/B-5277-2012; Bellerby, Richard/ABD-6590-2021; Hoppema, Mario/I-6286-2013</t>
  </si>
  <si>
    <t>Bellerby, Richard/0000-0003-3598-4006; Hoppema, Mario/0000-0002-2326-619X</t>
  </si>
  <si>
    <t>10.1357/002224002762688696</t>
  </si>
  <si>
    <t>WOS:000181209600002</t>
  </si>
  <si>
    <t>Cantero, ALP; Svoboda, A; Vervoort, W</t>
  </si>
  <si>
    <t>Species of Symplectoscyphus Marktanner-Turneretscher, 1890 (Cnidaria: Hydrozoa, Sertulariidae) from recent Antarctic expeditions with R. V. Polarstern, with the description of four new species</t>
  </si>
  <si>
    <t>hydroids; Sertulariidae; systematics; ecology; biogeography; Weddell Sea; Antarctic Ocean</t>
  </si>
  <si>
    <t>RV POLARSTERN; HYDROIDS</t>
  </si>
  <si>
    <t>Fifteen species of the genus Symplectoscyphus Marktanner-Turneretscher have been studied, four of which are new to science (Symplectoscyphus anae sp. nov., S. frigidus sp. nov., S. sofiae sp. nov. and S. weddelli sp. nov.). The material studied originates from the Weddell Sea and was collected by several French and German Antarctic expeditions with R. V. Polarstern. Each species is described and figured, the systematic position amongst allied species discussed and available data concerning autecology and geographical distribution given. The type material of five poorly known species of Symplectoscyphus, S. aggregatus (Jaderholm), S. cumberlandicus (Jaderholm), S. glacialis (Jaderholm), S. hero Blanco and S. plectilis (Hickson and Gravely), has been re-examined, re-described and figured. Finally, a general survey of the bathymetrical and biogeographical distribution of the known Antarctic species is given.</t>
  </si>
  <si>
    <t>Univ Valencia, Fac Ciencias Biol, Dept Biol Anim, E-46100 Valencia, Spain; Ruhr Univ Bochum, Fak Biol, Lehrstuhl Spezielle Zool, D-44780 Bochum, Germany; Natl Museum Nat Hist, NL-2300 RA Leiden, Netherlands</t>
  </si>
  <si>
    <t>University of Valencia; Ruhr University Bochum</t>
  </si>
  <si>
    <t>Cantero, ALP (corresponding author), Univ Valencia, Fac Ciencias Biol, Dept Biol Anim, Dr Moliner 50, E-46100 Valencia, Spain.</t>
  </si>
  <si>
    <t>Cantero, Álvaro Luis Peña/F-7888-2016</t>
  </si>
  <si>
    <t>Pena Cantero, Alvaro/0000-0003-3056-6673</t>
  </si>
  <si>
    <t>10.1080/00222930110051716</t>
  </si>
  <si>
    <t>588YE</t>
  </si>
  <si>
    <t>WOS:000177729200001</t>
  </si>
  <si>
    <t>Borowski, D; Gerdes, R; Olbers, D</t>
  </si>
  <si>
    <t>Thermohaline and wind forcing of a circumpolar channel with blocked geostrophic contours</t>
  </si>
  <si>
    <t>SOUTHERN-HEMISPHERE WINDS; LARGE-SCALE CIRCULATION; BETA-PLANE CHANNEL; EQUIVALENT BAROTROPIC MODEL; GLOBAL OCEAN CIRCULATION; DRAKE PASSAGE; MOMENTUM BALANCE; TRACER TRANSPORTS; BOTTOM TOPOGRAPHY; WORLD OCEAN</t>
  </si>
  <si>
    <t>The Antarctic Circumpolar Current is governed by unique dynamics. Because the latitude belt of Drake Passage is not zonally bounded by continents, the Sverdrup theory does not apply to the Antarctic Circumpolar Current. However, most of the geostrophic contours are blocked at Drake Passage, which provides an important dynamic constraint for the vorticity equation of the depth averaged flow. This study addresses the effects of thermohaline and wind forcing on the large-scale transport of a circumpolar current with blocked geostrophic contours. Various numerical experiments with three different idealized model geometries were conducted. Based on the results and theoretical arguments, the authors promote an indirect wind effect on the circumpolar current: while the direct effects of the wind in driving the circumpolar current through a vertical transfer of the applied wind stress are of minor importance, the wind does substantially influence the circumpolar current transport through its effects on the density field. This indirect wind effect is discussed in two steps. First, at the latitudes of the circumpolar current and longitudes where the geostrophic contours are blocked, the meridional gradient of the mass transport stream-function is to leading order balanced by the meridional gradient of the baroclinic potential energy. This balance implies that the total transport is to leading order baroclinic and that the deep transport is small. For this statement, some theoretical arguments are offered. Second, a simplified analytical model is used to obtain the distribution of the baroclinic potential energy. Assuming an advective-diffusive balance for the densities in the deep downwelling northern branch of the Deacon cell, this model reproduces the qualitative dependence of the circumpolar current transport on the imposed wind and thermohaline forcing as well as on the turbulent diffusivities.</t>
  </si>
  <si>
    <t>Alfred Wegener Inst Polar &amp; Marine Res, D-27570 Bremerhaven, Germany</t>
  </si>
  <si>
    <t>Alfred Wegener Inst Polar &amp; Marine Res, Bussestr 24, D-27570 Bremerhaven, Germany.</t>
  </si>
  <si>
    <t>borowski@awi-bremerhaven.de</t>
  </si>
  <si>
    <t>10.1175/1520-0485-32.9.2520</t>
  </si>
  <si>
    <t>588GX</t>
  </si>
  <si>
    <t>WOS:000177694700007</t>
  </si>
  <si>
    <t>Tziperman, E; Gildor, H</t>
  </si>
  <si>
    <t>The stabilization of the thermohaline circulation by the temperature-precipitation feedback</t>
  </si>
  <si>
    <t>LAST-GLACIAL-MAXIMUM; ICE-SHEET GROWTH; SEA-ICE; SNOW ACCUMULATION; CLIMATE SWITCH; CARBON-DIOXIDE; ANTARCTIC ICE; BOX MODEL; GREENLAND; GCM</t>
  </si>
  <si>
    <t>The meridional freshwater flux in the atmosphere, and hence the strength of the hydrological cycle, undergoes variations on glacial-interglacial as well as on some shorter timescales. A significant portion of these changes to the hydrological cycle are due to the temperature-precipitation feedback according to which there is more precipitation over the higher latitudes during warm periods when the moisture holding capacity of the atmosphere is higher. It is proposed here that this feedback may play an important role in determining the stability of the thermohaline circulation (THC). The THC stability to different parameterizations of the meridional atmospheric freshwater flux is therefore investigated using a simple box model of the ocean, atmosphere, and sea ice. It is demonstrated that parameterizations that are consistent with the temperature-precipitation feedback, and hence with the observed variations of the hydrological cycle during glacial-interglacial cycles, stabilize the THC for a wide range of forcing parameters.</t>
  </si>
  <si>
    <t>Weizmann Inst Sci, Dept Environm Sci, IL-76100 Rehovot, Israel</t>
  </si>
  <si>
    <t>Weizmann Institute of Science</t>
  </si>
  <si>
    <t>Tziperman, E (corresponding author), Weizmann Inst Sci, Dept Environm Sci, IL-76100 Rehovot, Israel.</t>
  </si>
  <si>
    <t>Tziperman, Eli/A-1219-2008; Gildor, Hezi/AAZ-6602-2021</t>
  </si>
  <si>
    <t>Gildor, Hezi/0000-0003-0898-6292</t>
  </si>
  <si>
    <t>10.1175/1520-0485-32.9.2707</t>
  </si>
  <si>
    <t>WOS:000177694700018</t>
  </si>
  <si>
    <t>Randel, WJ; Wu, F; Stolarski, R</t>
  </si>
  <si>
    <t>Changes in column ozone correlated with the stratospheric EP flux</t>
  </si>
  <si>
    <t>JOURNAL OF THE METEOROLOGICAL SOCIETY OF JAPAN</t>
  </si>
  <si>
    <t>International Symposium on Stratospheric Variations and Climate</t>
  </si>
  <si>
    <t>NOV 12-15, 2002</t>
  </si>
  <si>
    <t>FUKUOKA, JAPAN</t>
  </si>
  <si>
    <t>GLOBAL VARIATIONS; VARIABILITY; TEMPERATURE; SIMULATION; DEPLETION; TRENDS; N2O</t>
  </si>
  <si>
    <t>Variability in planetary wave forcing from the troposphere to the stratosphere is reflected in changes in ozone transport, due. to fluctuations in the stratospheric Brewer-Dobson circulation and eddy mixing. This work examines the space-time patterns of correlations between column ozone tendency and planetary wave Eliassen-Palm (EP) flux into the lower stratosphere, using monthly mean data for 1979-2000. Strong correlations are found during winter-spring in both hemispheres, with out-of-phase ozone changes between the tropics and middle-high latitudes. Springtime polar ozone is strongly influenced by wave forcing in both the Arctic and Antarctic. The ozone tendency-wave forcing correlations are combined with observed variations in EP flux to estimate the dynamic contribution to decadal-scale NH ozone trends. These calculations suggest that interannual. changes in EP flux contribute similar to20-30% of the observed trends in column ozone over 35-60degreesN during the past two decades.</t>
  </si>
  <si>
    <t>Natl Ctr Atmospher Res, Boulder, CO 80307 USA; NASA, Goddard Space Flight Ctr, Greenbelt, MD 20771 USA</t>
  </si>
  <si>
    <t>National Center Atmospheric Research (NCAR) - USA; National Aeronautics &amp; Space Administration (NASA); NASA Goddard Space Flight Center</t>
  </si>
  <si>
    <t>Randel, WJ (corresponding author), Natl Ctr Atmospher Res, POB 3000, Boulder, CO 80307 USA.</t>
  </si>
  <si>
    <t>Randel, William J/K-3267-2016; Stolarski, Richard S/B-8499-2013</t>
  </si>
  <si>
    <t>METEOROLOGICAL SOC JPN</t>
  </si>
  <si>
    <t>C/O JPN METEOROL AGENCY 1-3-4 OTE-MACHI, CHIYODA-KU, TOKYO, JAPAN</t>
  </si>
  <si>
    <t>0026-1165</t>
  </si>
  <si>
    <t>J METEOROL SOC JPN</t>
  </si>
  <si>
    <t>J. Meteorol. Soc. Jpn.</t>
  </si>
  <si>
    <t>4B</t>
  </si>
  <si>
    <t>10.2151/jmsj.80.849</t>
  </si>
  <si>
    <t>615FN</t>
  </si>
  <si>
    <t>WOS:000179235300007</t>
  </si>
  <si>
    <t>Watanabe, S; Hirooka, T; Miyahara, S</t>
  </si>
  <si>
    <t>Interannual variations of the general circulation and polar stratospheric ozone losses in a general circulation model</t>
  </si>
  <si>
    <t>HEMISPHERE WINTER; VARIABILITY; TROPOSPHERE; HOLE; DEPLETION; RADIATION</t>
  </si>
  <si>
    <t>Interannual variations of the general circulation and polar stratospheric ozone losses are investigated by using a general circulation model (GCM) developed at Kyushu University. The GCM includes simplified ozone photochemistry interactively coupled with radiation and dynamics in the GCM. Polar ozone depletion is brought about in the GCM by a parameterized ozone loss term. We performed an 'ozone depletion experiment' over 50 successive years with stratospheric ozone losses occurring over the Arctic and Antarctic polar regions. In addition, a 50-year 'control experiment' without such losses was also performed. Results of the ozone depletion experiment show large interannual variations of the general circulation and polar ozone losses, especially in the Northern Hemisphere winter and spring. It is found that stratosphere-troposphere coupled interannual variations are caused not only by dynamical conditions, e.g., strength of the polar vortex and planetary wave activities, but also by interaction mechanisms between dynamical and ozone depletion processes. The resultant interannual variability of the general circulation in the stratosphere becomes larger than that in the control experiment. Moreover, influences of the stratospheric polar night jet extend to the troposphere during late spring; overall three-dimensional patterns of the interannual variations in dynamical fields seem to coincide well with those of the Arctic Oscillation. On the other hand, for the Southern Hemisphere, it is found that there exists a remarkable interaction between meridional transport of ozone controlled by polar night jets and UV heating in the polar lower stratosphere. Strong and cold polar vortices lead to less ozone abundance in the polar region, resulting in less UV heating and lower temperatures, along with strengthening of the polar vortices themselves. As a result, even in the control experiment, interannual variability of ozone and temperature fields in the polar lower stratosphere is comparable to that for the ozone depletion experiment.</t>
  </si>
  <si>
    <t>Kyushu Univ, Dept Earth &amp; Planetary Sci, Fukuoka 8128581, Japan</t>
  </si>
  <si>
    <t>Kyushu University</t>
  </si>
  <si>
    <t>Watanabe, S (corresponding author), Kyushu Univ, Dept Earth &amp; Planetary Sci, Fukuoka 8128581, Japan.</t>
  </si>
  <si>
    <t>Watanabe, Shingo/L-9689-2014; Watanabe, Shingo/X-2336-2019</t>
  </si>
  <si>
    <t>Watanabe, Shingo/0000-0002-2228-0088; Watanabe, Shingo/0000-0002-2228-0088</t>
  </si>
  <si>
    <t>10.2151/jmsj.80.877</t>
  </si>
  <si>
    <t>WOS:000179235300009</t>
  </si>
  <si>
    <t>Hsu, HH; Weng, SP</t>
  </si>
  <si>
    <t>Stratospheric Antarctic Intraseasonal Oscillation during the austral winter</t>
  </si>
  <si>
    <t>MODE ROSSBY WAVES; SOUTHERN-HEMISPHERE; PLANETARY-WAVES; SYMMETRIC MODES; TRAVELING WAVES; SOLAR-CYCLE; MEAN-FLOW; OZONE; PROPAGATION; TROPOSPHERE</t>
  </si>
  <si>
    <t>This study discovered an eastward-propagating circulation pattern in the stratosphere of the Southern Hemisphere based on the Met Office stratospheric assimilated data and the TOMS total ozone. This pattern is named the Stratospheric Antarctic Intraseasonal Oscillation (SAIO) because of its intraseasonal time scale and its repeated appearance in the high latitudes of the Southern Hemisphere. The SAIO exhibits a wave-number-one structure and propagates eastward around the globe in about 30 days, indicating a periodicity of 30 days. It is characterized by a deep vertical structure extending from the upper troposphere to the upper stratosphere with the amplitude increasing rapidly with height below 5 hPa and decreasing slowly with height above. The pattern exhibits a westward-tilting vertical structure with increasing height below 5 hPa and a more barotropic structure above. This westward-tilting feature is most evident in the eastern hemisphere. The close correspondence between the total ozone and circulation implies the impacts of the SAIO on the ozone hole. The SAIO exhibits active wave activity in the longitudinal band outside the jet stream, i.e., from 60degreesE eastward to 90degreesW, and tends to grow in the longitudinal band from 60degreesE to 120degreesE where energy is converted both barotropically an baroclinically from the mean flow to the SAIO. Outside this region, the SAIO tends to decay and feed energy back to the mean flow mostly through barotropic processes. The SAIO wave activity propagates upward, from the upper troposphere to the upper stratosphere downstream of the high-rising topography in Antarctica. The feature is likely to be the manifestation of a topographically forced planetary wave. However, the periodicity cannot explained by the Rossby wave dispersion. Possible mechanisms are discussed.</t>
  </si>
  <si>
    <t>Natl Taiwan Univ, Dept Atmospher Sci, Taipei 10764, Taiwan; Cent Weather Bur, Div Res &amp; Dev, Taipei, Taiwan</t>
  </si>
  <si>
    <t>National Taiwan University; Central Weather Bureau (CWB)</t>
  </si>
  <si>
    <t>Hsu, HH (corresponding author), Natl Taiwan Univ, Dept Atmospher Sci, Taipei 10764, Taiwan.</t>
  </si>
  <si>
    <t>Hsu, Huang-Hsiung/AAP-3878-2021</t>
  </si>
  <si>
    <t>Hsu, Huang-Hsiung/0000-0001-9919-4404</t>
  </si>
  <si>
    <t>10.2151/jmsj.80.1029</t>
  </si>
  <si>
    <t>WOS:000179235300019</t>
  </si>
  <si>
    <t>Page, B; Goldsworthy, SD; Hindell, MA; Mckenzie, J</t>
  </si>
  <si>
    <t>Interspecific differences in male vocalizations of three sympatric fur seals (Arctocephalus spp.)</t>
  </si>
  <si>
    <t>vocalization; fur seal; species recognition; sexual selection; reinforcement; Arctocephalus</t>
  </si>
  <si>
    <t>MOTHER; RECOGNITION; BEHAVIOR</t>
  </si>
  <si>
    <t>This study investigated species recognition based on bark calls and full threat calls (FTCs) in three fur seal species, Antarctic Arctocephalus gazella, subantaretic A. tropicalis and New Zealand A. forsteri, that breed sympatrically and hybridize at subantarctic Macquarie Island. Bark calls, which are produced by males in male-female interactions, were more species-specific than their full threat calls, suggesting that bark calls could be used in species recognition and female mate choice. Further, the bark calls of A. tropicalis were more species-specific than those of A. gazella and A. forsteri, suggesting that divergence of calls between species is a consequence of phylogenetic distance, or has resulted from sexual selection through female mate choice. We believe the latter is more probable as we did not observe similar divergence in the FTCs of males. As such, the highly divergent bark calls of A. tropicalis may have resulted from sexual selection that has promoted pre-mating isolation via the process of reinforcement.</t>
  </si>
  <si>
    <t>La Trobe Univ, Dept Zool, Sea Mammal Ecol Grp, Melbourne, Vic 3086, Australia; Univ Tasmania, Sch Zool, Antarctic Wildlife Res Unit, Hobart, Tas, Australia</t>
  </si>
  <si>
    <t>La Trobe University; University of Tasmania</t>
  </si>
  <si>
    <t>La Trobe Univ, Dept Zool, Sea Mammal Ecol Grp, Melbourne, Vic 3086, Australia.</t>
  </si>
  <si>
    <t>B.Page@zoo.latrobe.edu.au</t>
  </si>
  <si>
    <t>Hindell, Mark A/K-1131-2013; Hindell, Mark A/C-8368-2013</t>
  </si>
  <si>
    <t>Hindell, Mark/0000-0002-7823-7185; Goldsworthy, Simon/0000-0003-4988-9085</t>
  </si>
  <si>
    <t>10.1017/S095283690200119X</t>
  </si>
  <si>
    <t>596VE</t>
  </si>
  <si>
    <t>WOS:000178186500006</t>
  </si>
  <si>
    <t>Belzile, C; Gibson, JAE; Vincent, WF</t>
  </si>
  <si>
    <t>Colored dissolved organic matter and dissolved organic carbon exclusion from lake ice: Implications for irradiance transmission and carbon cycling</t>
  </si>
  <si>
    <t>HIGH-MOUNTAIN LAKE; ULTRAVIOLET-RADIATION; FLUORESCENCE SPECTROSCOPY; SYNCHRONOUS FLUORESCENCE; ANTARCTIC LAKE; NATURAL LAKES; ARCTIC LAKES; PHYTOPLANKTON; UV; ECOSYSTEMS</t>
  </si>
  <si>
    <t>Thick ice cover is a feature of cold-temperate, polar, and alpine lakes and rivers throughout much of the year. Our observations from Canadian takes and rivers across the latitudinal gradient 46-80degreesN show that their overlying ice contains low concentrations of dissolved organic carbon (DOC) and colored dissolved organic matter (CDOM) relative to the underlying waters. The CDOM exclusion factor (water/ice) ranged from 1.4 to 114 and was typically greater than twice the exclusion factor for inorganic solutes. Application of synchronous fluorescence analysis to lake ice samples and experimentally frozen lakewater indicated that only less complex, lower molecular weight molecules were retained within the ice. Consistent with this analysis, DOC-specific absorption showed that the DOC in the ice was generally less colored than that in the underlying waters. The reduced CDOM absorption within the ice allowed relatively high ultraviolet (UV) transmission despite the elevated scattering within the ice and resulted in UV diffuse attenuation coefficients up to eight times lower in the ice than in the underlying waters. This relatively low attenuation by the ice would cause organisms trapped near the surface by inverse stratification to experience high UV exposure prior to ice breakup. The ice exclusion effect gives rise to a concentrated zone of CDOM and DOC that is likely to favor heterotrophic and mixotrophic processes and influence biogeochemical interactions.</t>
  </si>
  <si>
    <t>Univ Laval, Dept Biol, St Foy, PQ G1K 7P4, Canada; Univ Laval, Ctr Etud Nord, St Foy, PQ G1K 7P4, Canada</t>
  </si>
  <si>
    <t>Laval University; Laval University</t>
  </si>
  <si>
    <t>Belzile, C (corresponding author), Univ Laval, Dept Biol, St Foy, PQ G1K 7P4, Canada.</t>
  </si>
  <si>
    <t>Vincent, Warwick F/C-9522-2009; Vincent, Warwick/AAH-6152-2019</t>
  </si>
  <si>
    <t>Vincent, Warwick/0000-0001-9055-1938; Belzile, Claude/0000-0003-3908-7433</t>
  </si>
  <si>
    <t>10.4319/lo.2002.47.5.1283</t>
  </si>
  <si>
    <t>594ZF</t>
  </si>
  <si>
    <t>WOS:000178081800002</t>
  </si>
  <si>
    <t>Charrassin, JB; Le Maho, Y; Bost, CA</t>
  </si>
  <si>
    <t>Seasonal changes in the diving parameters of king penguins (Aptenodytes patagonicus)</t>
  </si>
  <si>
    <t>ANTARCTIC FUR SEALS; EMPEROR PENGUINS; CROZET ARCHIPELAGO; FORAGING ECOLOGY; PYGOSCELIS-PAPUA; MARINE-ENVIRONMENT; AMSTERDAM-ISLAND; ADELIE PENGUINS; GENTOO PENGUINS; BEHAVIOR</t>
  </si>
  <si>
    <t>Contrasting conditions at-sea are likely to affect the foraging behaviour of seabirds. However, the effect of season on the dive parameters of penguins is poorly known. We report here on an extensive study of the diving behaviour of king penguins (Aptenodytes patagonicus) over the bird's complete annual cycle at the Crozet Islands. Time-depth recorders were used to record dive duration, bottom duration, post-dive interval, ascent rate and descent rate in breeding adults during different seasons in 1995 and 1996. Seasons included summer (n = 6, incubation; n = 6, chick brooding), autumn and winter (n = 5 and n = 3, respectively, chick at the creche stage), and spring (n = 4, birds at the post-moult stage). In all seasons dive duration increased with dive depth, but, for a given depth, dives were longer in winter (6.8 min when averaged over the 100-210 in depth layer) than in spring (4.6 min) and summer (4.4 min). The time spent at the bottom of the dives, which probably represents a substantial part of the feeding time, was much longer in winter (2.5 min per dive for dives over the 100-210 in layer) than during other seasons (1.0-1.4 min), i.e. there was a 2.5-fold augmentation for similar diving depths. Ascent and descent rates increased with increasing dive depth, but no difference in the relationships between rates of ascent and descent and dive depth was found among seasons. Furthermore, for all dive depths, ascent and descent rates were independent of the bottom duration. In all seasons post-dive intervals increased with dive duration and with dive depth, but they were longer in spring (2.3 min for dives over the 100-210 in layer) and summer than in autumn and winter (1.6-1.8 min). The diving efficiency decreased with increasing dive depth and was higher in autumn and winter (0.22-0.29) than in summer and spring (0.15-0.18). The large increase in bottom and dive duration from spring to winter is in agreement with the seasonal drop in prey density, with penguins spending more time searching for prey. in contrast, the consistency of the vertical velocity during contrasting conditions at-sea suggests that the transit time to depth is an important component of the foraging behaviour (scanning of the water column) that is independent of the prey availability. The time budget of the penguins during diving in a fluctuating environment appears to vary primarily during the bottom phase of the dives, with bottom duration increasing with diminishing prey supplies, while post-dive intervals shorten in. the same time.</t>
  </si>
  <si>
    <t>Ctr Natl Rech Sci, Ctr Ecol &amp; Physiol Energet, F-67087 Strasbourg, France</t>
  </si>
  <si>
    <t>Ctr Natl Rech Sci, Ctr Ecol &amp; Physiol Energet, 3 Rue Becquerel, F-67087 Strasbourg, France.</t>
  </si>
  <si>
    <t>jbc@mnhn.fr</t>
  </si>
  <si>
    <t>10.1007/s00227-002-0843-4</t>
  </si>
  <si>
    <t>606EZ</t>
  </si>
  <si>
    <t>WOS:000178722300017</t>
  </si>
  <si>
    <t>Ancora, S; Volpi, V; Olmastroni, S; Focardi, S; Leonzio, C</t>
  </si>
  <si>
    <t>Assumption and elimination of trace elements in Adelie penguins from Antarctica: a preliminary study</t>
  </si>
  <si>
    <t>MARINE ENVIRONMENTAL RESEARCH</t>
  </si>
  <si>
    <t>11th International Symposium on Pollutant Responses in Marine Organisms (PRIMO 11)</t>
  </si>
  <si>
    <t>JUL 10-13, 2001</t>
  </si>
  <si>
    <t>PLYMOUTH, ENGLAND</t>
  </si>
  <si>
    <t>Adelie penguin; trace elements; non-destructive methods; Antarctic ecosystem; intake elimination models</t>
  </si>
  <si>
    <t>MERCURY</t>
  </si>
  <si>
    <t>The concentration and distribution of some trace elements were determined in stomach contents, excreta and feathers of Adelie penguins (Pygoscelis adeliae) breeding at Edmonson Point (Terra Nova Bay-Antarctica). In these materials obtained by non-destructive methods, concentrations of mercury, cadmium and lead measured were used to establish natural levels of these metals in the penguins' diet. An intake-excretion hypothesis was formulated. (C) 2002 Elsevier Science Ltd. All rights reserved.</t>
  </si>
  <si>
    <t>Univ Pisa, Dipartimento Sci Uomo &amp; Ambiente, I-56100 Pisa, Italy; Univ Siena, Dipartimento Sci Ambientali, I-53100 Siena, Italy</t>
  </si>
  <si>
    <t>University of Pisa; University of Siena</t>
  </si>
  <si>
    <t>Ancora, S (corresponding author), Univ Pisa, Dipartimento Sci Uomo &amp; Ambiente, Via A volta 6, I-56100 Pisa, Italy.</t>
  </si>
  <si>
    <t>ANCORA, STEFANIA/AAG-6281-2021; OLMASTRONI, Silvia/G-6267-2018</t>
  </si>
  <si>
    <t>OLMASTRONI, Silvia/0000-0002-9319-9914; Ancora, Stefania/0000-0002-2716-3526</t>
  </si>
  <si>
    <t>0141-1136</t>
  </si>
  <si>
    <t>MAR ENVIRON RES</t>
  </si>
  <si>
    <t>Mar. Environ. Res.</t>
  </si>
  <si>
    <t>SEP-DEC</t>
  </si>
  <si>
    <t>3-5</t>
  </si>
  <si>
    <t>PII S0141-1136(02)00198-8</t>
  </si>
  <si>
    <t>10.1016/S0141-1136(02)00198-8</t>
  </si>
  <si>
    <t>Environmental Sciences; Marine &amp; Freshwater Biology; Toxicology</t>
  </si>
  <si>
    <t>Environmental Sciences &amp; Ecology; Marine &amp; Freshwater Biology; Toxicology</t>
  </si>
  <si>
    <t>599XH</t>
  </si>
  <si>
    <t>WOS:000178360100025</t>
  </si>
  <si>
    <t>Zielinski, U; Bianchi, C; Gersonde, R; Kunz-Pirrung, M</t>
  </si>
  <si>
    <t>Last occurrence datums of the diatoms Rouxia leventerae and Rouxia constricta:: indicators for marine isotope stages 6 and 8 in Southern Ocean sediments</t>
  </si>
  <si>
    <t>diatom; Pleistocene; Southern Ocean; biostratigraphy; Ocean Drilling Program</t>
  </si>
  <si>
    <t>ICE</t>
  </si>
  <si>
    <t>Diatom analysis of sediments recovered during ODP Leg 177 and RV Polarstern expeditions in the Atlantic sector of the Southern Ocean reveals that the abundance pattern and the stratigraphic distribution of the two recently described diatom taxa, Rouxia leventerae and Rouxia constricta, represent a new tool for dating sequences that have been deposited under Southern Ocean cold-water conditions. In sediments from the present Antarctic Zone (AZ) the last occurrence datums of R. leventerae and R. constricta can be placed into the upper portion of the marine isotope stage (MIS) 6 (similar to0.14-0.13 Ma) and the lower portion of MIS 8 (similar to0.3-0.28 Ma), respectively. This allows the identification of isotope stages in Pleistocene Southern Ocean sediments that are often characterized by the lack or discontinuous occurrences of calcareous microfossils. Occurrences of R. leventerae are restricted to glacial sediments deposited in the AZ, highlighting that this taxon is typically restricted to cold waters. In contrast, R. constricta occurs in glacial and interglacial sequences and displays a broader geographical distribution between the northern AZ and the Polar Front Zone. (C) 2002 Elsevier Science B.V. All rights reserved.</t>
  </si>
  <si>
    <t>Alfred Wegener Inst Polar &amp; Marine Res, D-27568 Bremerhaven, Germany; Univ Salamanca, Fac Ciencias, Dept Geol, E-37008 Salamanca, Spain</t>
  </si>
  <si>
    <t>Helmholtz Association; Alfred Wegener Institute, Helmholtz Centre for Polar &amp; Marine Research; University of Salamanca</t>
  </si>
  <si>
    <t>Zielinski, U (corresponding author), Alfred Wegener Inst Polar &amp; Marine Res, Columbusstr, D-27568 Bremerhaven, Germany.</t>
  </si>
  <si>
    <t>PII S0377-8398(02)00042-7</t>
  </si>
  <si>
    <t>10.1016/S0377-8398(02)00042-7</t>
  </si>
  <si>
    <t>603TL</t>
  </si>
  <si>
    <t>WOS:000178576100008</t>
  </si>
  <si>
    <t>Hayward, BW; Neil, H; Carter, R; Grenfell, HR; Hayward, JJ</t>
  </si>
  <si>
    <t>Factors influencing the distribution patterns of recent deep-sea benthic foraminifera, east of New Zealand, Southwest Pacific Ocean</t>
  </si>
  <si>
    <t>Chatham Rise; Bounty Trough; Subtropical Front; palaeoceanography; ecological distribution</t>
  </si>
  <si>
    <t>WESTERN-BOUNDARY CURRENT; SOUTHEASTERN NEW-ZEALAND; CHATHAM RISE; PLANKTONIC-FORAMINIFERA; SUBTROPICAL CONVERGENCE; CARBONATE DISSOLUTION; SURFACE TEMPERATURE; EQUATORIAL PACIFIC; SELECTIVE SOLUTION; DRILLING PROJECT</t>
  </si>
  <si>
    <t>This study investigates which combination of environmental factors most strongly influences the distribution patterns of benthic foraminferal tests (&gt; 0.63 mum) in a region bisected by the Subtropical Front, east of New Zealand. Seafloor sample sites extend from outer shelf (90 m) to abyssal (4700 m) depths, across substrates ranging from biogenic/terrigenous gravelly sand to hemipelagic mud, and occur under the influence of Antarctic intermediate water (AAIW) and circumpolar deep waters as well as receiving detritus from both Subtropical and Subantarctic surface water masses. Elevated values of the planktic foraminiferal fragmentation index and reworked small Paleogene planktic foraminifera at outer shelf and bathyal depths coincide with areas of strong bottom currents. Q-mode cluster analysis on the census counts of 398 benthic species clusters the 66 samples into three large groups (shallow, bathyal, abyssal), and at a lower level 10 mappable associations are recognised. A combination of canonical correspondence analysis and a correlation coefficient matrix was used to relate the faunal data to a set of measured environmental proxies. These analyses show that factors that have a relationship with depth are the most significant in determining foraminiferal distribution. The principal environmental factors which appear to most strongly influence this benthic foraminiferal distribution are: dissolved oxygen content in bottom waters; sustainability of organic carbon flux rates; seasonality of food supply; lateral advection of water masses; bottom water carbonate corrosiveness; energetic state at the benthic boundary layer; grain-size composition of substrate; salinity and temperature of the bottom waters. Shallow water associations (90-1250 m), dominated by Cassidulina carinata and Trifarina angulosa, occur within coarse substrates under well-oxygenated, high energy regimes and sustained food input. The occurrence of the bathyal associations (230-2840 m), dominated by C carinata, Alabaminella weddellensis and Abditodentrix pseudothalmanni, closely mirrors the distribution of AAIW within a region of variable food supply. The sustainability of food supply combined with bottom water type and associated ventilation and dissolution strongly influence the composition of abyssal associations (1200-4700 m), mostly dominated by Epistominella exigua and A. weddellensis. (C) 2002 Elsevier Science B.V. All rights reserved.</t>
  </si>
  <si>
    <t>Univ Auckland, Dept Geol, Auckland 1, New Zealand; Natl Inst Water &amp; Atmosphere, Wellington, New Zealand</t>
  </si>
  <si>
    <t>Univ Auckland, Dept Geol, Private Bag 92 019, Auckland 1, New Zealand.</t>
  </si>
  <si>
    <t>b.hayward@auckland.ac.nz</t>
  </si>
  <si>
    <t>HAYWARD, BRUCE W/AAG-2597-2019</t>
  </si>
  <si>
    <t>Hayward, Bruce W./0000-0003-1302-7686</t>
  </si>
  <si>
    <t>1872-6186</t>
  </si>
  <si>
    <t>PII S0377-8398(02)00047-6</t>
  </si>
  <si>
    <t>10.1016/S0377-8398(02)00047-6</t>
  </si>
  <si>
    <t>WOS:000178576100009</t>
  </si>
  <si>
    <t>Esper, O; Zonneveld, KAF</t>
  </si>
  <si>
    <t>Distribution of organic-walled dinoflagellate cysts in surface sediments of the Southern Ocean (eastern Atlantic sector) between the Subtropical Front and the Weddell Gyre</t>
  </si>
  <si>
    <t>dinoflagellate cysts; modern; ecology; South Atlantic; Southern Ocean</t>
  </si>
  <si>
    <t>ANTARCTIC CIRCUMPOLAR CURRENT; LATITUDE MARINE ENVIRONMENTS; LATE QUATERNARY; COMMUNITY STRUCTURE; FALKLAND TROUGH; NORTH-ATLANTIC; INDIAN-OCEAN; BOTTOM WATER; SEA; AFRICA</t>
  </si>
  <si>
    <t>Thirty-two surface sediment samples from the Southern Ocean (eastern Atlantic sector), between the Subtropical Front and the Weddell Gyre, were investigated to provide information on the distribution of modem organic-walled dinoflagellate cysts in relation to the oceanic fronts of the Antarctic Circumpolar Current (ACC). A clearly distinguishable distribution pattern was observed in relation to the water masses and fronts of the ACC. The dinoflagellate cysts of species characteristic of open oceanic environments, such as Impagidinium species, are highly abundant around the Subtropical Front, whereas south of this front, cosmopolitan species such as Nematosphaeropsis labyrinthus and the cysts of Protoceratium reticulatum characterise the transition from subtropical to subantarctic surface waters. The subantarctic surface waters are dominated by the cysts of heterotrophic dinoflagellates, such as Protoperidinium spp. and Selenopemphix antarctica. The cysts of Protoperidinium spp. form the dominant part of the assemblages around the Antarctic Polar Front, whereas S. antarctica concentrations increase further to the south. The presence of S. antarctica in sediments of the Maud Rise, a region of seasonal sea-ice cover, reflects its tolerance for low temperatures and sea-ice cover. A previously undescribed species, Cryodinium meridianum gen. nov. sp. nov., has a restricted distribution pattern between the Antarctic Polar Front and the ACC-Weddell Gyre Boundary. (C) 2002 Elsevier Science B.V. All rights reserved.</t>
  </si>
  <si>
    <t>Univ Bremen, Fachbereich Geowissensch 5, D-28334 Bremen, Germany</t>
  </si>
  <si>
    <t>University of Bremen</t>
  </si>
  <si>
    <t>Esper, O (corresponding author), Univ Bremen, Fachbereich Geowissensch 5, Postfach 330 440, D-28334 Bremen, Germany.</t>
  </si>
  <si>
    <t>Esper, Oliver/0000-0002-4342-3471</t>
  </si>
  <si>
    <t>PII S0377-8398(02)00041-5</t>
  </si>
  <si>
    <t>10.1016/S0377-8398(02)00041-5</t>
  </si>
  <si>
    <t>WOS:000178576100010</t>
  </si>
  <si>
    <t>Adams, N</t>
  </si>
  <si>
    <t>Advances in forecasting systems at the Antarctic Meteorological Centre, Casey</t>
  </si>
  <si>
    <t>METEOROLOGICAL APPLICATIONS</t>
  </si>
  <si>
    <t>The Australian Bureau of Meteorology has been providing weather services for Australian Antarctic expeditions since the first expedition of 1947 and the forecasting services have been gradually evolving over the decades. However, with the advent of high bandwidth communications into Antarctica in the early 1990s there has been, for the first time, access to high-resolution satellite imagery, numerical model data and global observational datasets. Over the past seven years locally designed and developed forecast systems have matured and now provide the Antarctic forecaster with a comprehensive suite of systems to assist in the timely and accurate provision of aviation, marine and terrestrial forecasts. The ease with which these data may be manipulated, displayed and interpreted is expected to have a positive impact on the quality of forecasts provided to the Antarctic user.</t>
  </si>
  <si>
    <t>Antarctic CRC, Hobart, Tas 7001, Australia; Australian Bur Meteorol, Hobart, Tas 7001, Australia</t>
  </si>
  <si>
    <t>Bureau of Meteorology - Australia</t>
  </si>
  <si>
    <t>Adams, N (corresponding author), Antarctic CRC, GPO Box 252-80, Hobart, Tas 7001, Australia.</t>
  </si>
  <si>
    <t>1350-4827</t>
  </si>
  <si>
    <t>METEOROL APPL</t>
  </si>
  <si>
    <t>Meteorol. Appl.</t>
  </si>
  <si>
    <t>10.1017/S1350482702003079</t>
  </si>
  <si>
    <t>600XL</t>
  </si>
  <si>
    <t>WOS:000178417000007</t>
  </si>
  <si>
    <t>Davis, CS; Gelatt, TS; Siniff, D; Strobeck, A</t>
  </si>
  <si>
    <t>Dinucleotide microsatellite markers from the Antarctic seals and their use in other Pinnipeds</t>
  </si>
  <si>
    <t>MOLECULAR ECOLOGY NOTES</t>
  </si>
  <si>
    <t>Antarctic; crabeater seal; leopard seal; microsatellites; Weddell seal</t>
  </si>
  <si>
    <t>GENETIC DIFFERENTIATION; DNA POLYMORPHISMS; POLYMERASE; POPULATIONS</t>
  </si>
  <si>
    <t>Twenty-four microsatellite loci were isolated from three species of Antarctic seals (Subfamily Monachinae, Tribe Lobodontini). Eleven loci were cloned from Weddell seal, Leptonychotes weddellii, seven from leopard seal, Hydrurga leptonyx, and six from crabeater seal, Lobodon carcinophagus. Variability was assessed in Weddell seals collected in McMurdo Sound, leopard seals from Bird Island, South Georgia, and crabeater seals sampled in the eastern Ross Sea. All loci were variable in the three species used for cloning and 22 of these loci amplified variable products in the Ross seal, Ommatophoca rossii. Cross-species amplification was largely successful, with an average of 19 loci amplifying products in other phocids.</t>
  </si>
  <si>
    <t>Univ Alberta, Dept Sci Biol, Edmonton, AB T6G 2E9, Canada; Alaska Dept Fish &amp; Game, Div Wildlife Conservat, Anchorage, AK 99518 USA; Univ Minnesota, Dept Ecol Evolut &amp; Behav, St Paul, MN 55108 USA</t>
  </si>
  <si>
    <t>University of Alberta; Alaska Department of Fish &amp; Game; University of Minnesota System; University of Minnesota Twin Cities</t>
  </si>
  <si>
    <t>Davis, CS (corresponding author), Univ Alberta, Dept Sci Biol, Edmonton, AB T6G 2E9, Canada.</t>
  </si>
  <si>
    <t>Strobeck, Curtis/A-3762-2014; Strobeck, Curtis/E-9998-2011; Davis, Corey/I-4058-2014</t>
  </si>
  <si>
    <t>Strobeck, Curtis/0000-0002-6171-3130; Davis, Corey/0000-0003-4362-0659</t>
  </si>
  <si>
    <t>1471-8278</t>
  </si>
  <si>
    <t>MOL ECOL NOTES</t>
  </si>
  <si>
    <t>Mol. Ecol. Notes</t>
  </si>
  <si>
    <t>10.1046/j.1471-8286.2002.00187.x</t>
  </si>
  <si>
    <t>592YK</t>
  </si>
  <si>
    <t>WOS:000177964300002</t>
  </si>
  <si>
    <t>Stanton, BR</t>
  </si>
  <si>
    <t>Antarctic Intermediate Water Variability in the northern New Zealand region</t>
  </si>
  <si>
    <t>Antarctic Intermediate Water; East Auckland Current; meso-scale variability</t>
  </si>
  <si>
    <t>TOTAL GEOSTROPHIC CIRCULATION; SOUTH-PACIFIC; OCEAN CIRCULATION; FLOW PATTERNS; TRANSPORTS; TRACERS</t>
  </si>
  <si>
    <t>In the region between 30degreesS and northern New Zealand, vertical salinity profiles through the core of the Antarctic Intermediate Water (AAIW) show a high degree of spatial and temporal variability, and this variability is much larger than that found in nearby ocean areas. Characteristic features are interleaving of salinity layers and large changes in the salinity minimum between adjacent stations. Quantifying the changes through the calculation of an intrusion index highlights the degree of variability and the importance of boundary mixing along the New Zealand slope. However, the main cause of the variability is the meeting and mixing of higher salinity AAlW, arriving from the north-west (having travelled around the subtropical gyre) with lower salinity AAIW arriving by more direct entry from the north-east. These waters meet in the region through the action of the meso-scale eddy field. Present data indicate that where strong salinity interleaving occurs, the length scales are of the order of 10 km and the time scales are of the order of a few days. Resolution of the processes at work will require studies on finer scales than presently available.</t>
  </si>
  <si>
    <t>Natl Inst Water &amp; Atmospher Res Ltd, Wellington, New Zealand</t>
  </si>
  <si>
    <t>Stanton, BR (corresponding author), Natl Inst Water &amp; Atmospher Res Ltd, POB 14 901, Wellington, New Zealand.</t>
  </si>
  <si>
    <t>b.stanton@niwa.cri.nz</t>
  </si>
  <si>
    <t>10.1080/00288330.2002.9517120</t>
  </si>
  <si>
    <t>613LK</t>
  </si>
  <si>
    <t>WOS:000179133600020</t>
  </si>
  <si>
    <t>Dohmoto, N</t>
  </si>
  <si>
    <t>Antarctic krill and its function for human health</t>
  </si>
  <si>
    <t>NIPPON SUISAN GAKKAISHI</t>
  </si>
  <si>
    <t>Japanese</t>
  </si>
  <si>
    <t>Nippon Suisan Kaisha Ltd, Cent Res Lab, Tokyo 1920906, Japan</t>
  </si>
  <si>
    <t>Nippon Suisan Kaisha, Ltd.</t>
  </si>
  <si>
    <t>Nippon Suisan Kaisha Ltd, Cent Res Lab, Tokyo 1920906, Japan.</t>
  </si>
  <si>
    <t>dohmoto@nissui.co.jp</t>
  </si>
  <si>
    <t>JAPANESE SOC FISHERIES SCIENCE</t>
  </si>
  <si>
    <t>C/O TOKYO UNIV FISHERIES, KONAN 4, MINATO, TOKYO, 108-8477, JAPAN</t>
  </si>
  <si>
    <t>0021-5392</t>
  </si>
  <si>
    <t>1349-998X</t>
  </si>
  <si>
    <t>NIPPON SUISAN GAKK</t>
  </si>
  <si>
    <t>Nippon Suisan Gakkaishi</t>
  </si>
  <si>
    <t>615YN</t>
  </si>
  <si>
    <t>WOS:000179275100019</t>
  </si>
  <si>
    <t>Watkins, NW</t>
  </si>
  <si>
    <t>Scaling in the space climatology of the auroral indices: is SOC the only possible description?</t>
  </si>
  <si>
    <t>NONLINEAR PROCESSES IN GEOPHYSICS</t>
  </si>
  <si>
    <t>IAGA 2000 Meeting</t>
  </si>
  <si>
    <t>AUG, 2000</t>
  </si>
  <si>
    <t>HANOI, VIETNAM</t>
  </si>
  <si>
    <t>SELF-ORGANIZED CRITICALITY; SOLAR-WIND; ELECTROJET INDEX; AE; DISTRIBUTIONS; FLUCTUATIONS; RECONNECTION; TURBULENCE; DYNAMICS; AFFINITY</t>
  </si>
  <si>
    <t>The study of the robust features of the magnetosphere is motivated both by new whole system approaches, and by the idea of space climate as opposed to space weather. We enumerate these features for the AE index, and discuss whether self-organised criticality (SOC) is the most natural explanation of the stylised facts so far known for AE. We identify and discuss some open questions, answers to which will clarify the extent to which AE's properties provide evidence for SOC. We then suggest an SOC-like reconnection-based scenario drawing on the result of Craig (2001) as an explanation of the very recent demonstration by Uritsky et al. (2001b) of power laws in several properties of spatiotemporal features seen in auroral images.</t>
  </si>
  <si>
    <t>nww@bas.ac.uk</t>
  </si>
  <si>
    <t>Watkins, Nick/GPX-7439-2022; Watkins, Nicholas Wynn/C-5140-2008</t>
  </si>
  <si>
    <t>Watkins, Nick/0000-0003-4484-6588; Watkins, Nicholas Wynn/0000-0003-4484-6588</t>
  </si>
  <si>
    <t>1023-5809</t>
  </si>
  <si>
    <t>1607-7946</t>
  </si>
  <si>
    <t>NONLINEAR PROC GEOPH</t>
  </si>
  <si>
    <t>Nonlinear Process Geophys.</t>
  </si>
  <si>
    <t>5-6</t>
  </si>
  <si>
    <t>10.5194/npg-9-389-2002</t>
  </si>
  <si>
    <t>Geosciences, Multidisciplinary; Mathematics, Interdisciplinary Applications; Meteorology &amp; Atmospheric Sciences; Physics, Fluids &amp; Plasmas</t>
  </si>
  <si>
    <t>Geology; Mathematics; Meteorology &amp; Atmospheric Sciences; Physics</t>
  </si>
  <si>
    <t>619FK</t>
  </si>
  <si>
    <t>Green Submitted, gold, Green Accepted</t>
  </si>
  <si>
    <t>WOS:000179465000002</t>
  </si>
  <si>
    <t>Chapman, SC; Rowlands, G; Watkins, NW</t>
  </si>
  <si>
    <t>Extremum statistics: a framework for data analysis</t>
  </si>
  <si>
    <t>POWER FLUCTUATIONS; UNIVERSALITY</t>
  </si>
  <si>
    <t>Recent work has suggested that in highly correlated systems, such as sandpiles, turbulent fluids, ignited trees in forest fires and magnetization in a ferromagnet close to a critical point, the probability distribution of a global quantity (i.e. total energy dissipation, magnetization and so forth) that has been normalized to the first two moments follows a specific non-Gaussian curve. This curve follows a form suggested by extremum statistics, which is specified by a single parameter a (a = 1 corresponds to the Fisher-Tippett Type I (Gumbel) distribution). Here we present a framework for testing for extremal statistics in a global observable. In any given system, we wish to obtain a, in order to distinguish between the different Fisher-Tippett asymptotes, and to compare with the above work. The normalizations of the extremal curves are obtained as a function of a. We find that for realistic ranges of data, the various extremal distributions, when normalized to the first two moments, are difficult to distinguish. In addition, the convergence to the limiting extremal distributions for finite data sets is both slow and varies with the asymptote. However, when the third moment is expressed as a function of a, this is found to be a more sensitive method.</t>
  </si>
  <si>
    <t>Univ Warwick, Dept Phys, Coventry CV4 7AL, W Midlands, England; British Antarctic Survey, Cambridge CB3 0ET, England</t>
  </si>
  <si>
    <t>Chapman, SC (corresponding author), Univ Warwick, Dept Phys, Coventry CV4 7AL, W Midlands, England.</t>
  </si>
  <si>
    <t>Watkins, Nick/GPX-7439-2022; Chapman, Sandra/C-2216-2008; Watkins, Nicholas Wynn/C-5140-2008</t>
  </si>
  <si>
    <t>Watkins, Nick/0000-0003-4484-6588; Chapman, Sandra/0000-0003-0053-1584; Watkins, Nicholas Wynn/0000-0003-4484-6588</t>
  </si>
  <si>
    <t>10.5194/npg-9-409-2002</t>
  </si>
  <si>
    <t>WOS:000179465000004</t>
  </si>
  <si>
    <t>Dobrolyuboc, SA; Falina, AS</t>
  </si>
  <si>
    <t>Interannual variability of the intermediate North Atlantic water circulation from a multiparameter analysis of the water masses</t>
  </si>
  <si>
    <t>BOUNDARY CURRENT; LABRADOR SEA; TEMPERATURE; COMPONENTS; SALINITY; OCEAN</t>
  </si>
  <si>
    <t>Data on transatlantic sections along 36degrees N and 48degrees N revisited over the past 20 years are used for an analysis of the variability of the intermediate and abyssal water masses in the North Atlantic. We solved the problem of determining the percentage of the Antarctic, Labrador, and Mediterranean intermediate water masses at given levels of observations from the data on temperature, salinity, concentration of silicates, and the value of the NO parameter taking into account the variations in the characteristics of the formation focus and in the time required for the climatic signal to reach the given part of the section. In 1993, at 36degrees N, we found a more intensive penetration of the water of Antarctic origin to the north, which was accompanied by a dilution and rise in the nutrient concentration. The corresponding enhancement of the flow of the Antarctic water in the intermediate layer at 43-48degrees N was recorded in 1996. The percentage of the Labrador water mass in the core at 48degrees N indicates that, in 1993 and 2000, this water flowed mainly to the eastern basin, whereas in 1996, a less transformed Labrador water was observed in the region of the deep western boundary current. From 1996 to 2000, a gradual salination of the layer of the Labrador water and a decrease in the concentration of dissolved oxygen in it were observed. At 36degrees N in 1981, the less transformed Labrador water was in the region of the deep western boundary current, whereas in 1993, the branch flowing along the western slope of the mid-ocean ridge played the major role in its propagation.</t>
  </si>
  <si>
    <t>Moscow MV Lomonosov State Univ, Dept Geog, Moscow, Russia; Russian Acad Sci, PP Shirshov Oceanol Inst, Moscow, Russia</t>
  </si>
  <si>
    <t>Lomonosov Moscow State University; Russian Academy of Sciences; Shirshov Institute of Oceanology</t>
  </si>
  <si>
    <t>Dobrolyuboc, SA (corresponding author), Moscow MV Lomonosov State Univ, Dept Geog, Moscow, Russia.</t>
  </si>
  <si>
    <t>Falina, Anastasia/M-6398-2015</t>
  </si>
  <si>
    <t>Falina, Anastasia/0000-0001-5435-4603</t>
  </si>
  <si>
    <t>609JE</t>
  </si>
  <si>
    <t>WOS:000178899200002</t>
  </si>
  <si>
    <t>Dmitrenko, OB</t>
  </si>
  <si>
    <t>Biogeographic zonality of the Miocene nannoplankton in the South Ocean</t>
  </si>
  <si>
    <t>The analysis of the abundance and distribution areas of nannofossil species and assemblages in the bottom sediments of the South Ocean resulted in their biogeographic zoning from outlining the Antarctic, Subantarctic, Notal, and Subtropical zones for the Early, Middle, and Late Miocene. The conclusions are based on the results of the study of nannoplankton from the DSDP and ODP deep-sea holes. The heterogeneity of biogeographic settings and their variability are related to different trends in the climatic changes in different areas of the South Ocean and to the general cooling during the Miocene.</t>
  </si>
  <si>
    <t>Dmitrenko, OB (corresponding author), Russian Acad Sci, PP Shirshov Oceanol Inst, Moscow, Russia.</t>
  </si>
  <si>
    <t>WOS:000178899200011</t>
  </si>
  <si>
    <t>Reilly, TJ; Miller, KG; Feigenson, MD</t>
  </si>
  <si>
    <t>Latest Eocene-earliest Miocene Sr isotopic reference section, Site 522, eastern South Atlantic</t>
  </si>
  <si>
    <t>Sr isotopes; Oligocene; stratigraphy; glaciation</t>
  </si>
  <si>
    <t>STRONTIUM ISOTOPES; SEA-WATER; SEAWATER; OLIGOCENE; STRATIGRAPHY; SR-87/SR-86; OCEAN; GLACIATION; EVOLUTION; NEOGENE</t>
  </si>
  <si>
    <t>[1] We present a revised calibration of Sr isotopes to the geomagnetic polarity timescale (GPTS) using closely spaced (similar to0.15 m.y. resolution) samples from the classic uppermost Eocene through lowermost Miocene section at Site 522, eastern South Atlantic. The Sr isotopic data are fit with two linear segments with a sharp change in slope at circa 27.5 Ma from 0.000038/m.y. (27.5 to 34.4 Ma) to 0.000051/m.y. (23.8 to 27.5 Ma). Regression analysis indicates that stratigraphic resolution ranges from +/-1 m.y. (for one analysis) to +/-0.6 m.y. (for three analyses) for the younger interval and +/-1.2 m. y. (for one analysis) to +/-0.7 m. y. (for three analyses) for the older interval, representing an increase in resolution from previous studies of +/-1-2 m. y. The paleoceanographic significance of this change in slope is unclear. It occurs during an interval of intermittent Antarctic glaciation, between the Oi2a and Oi2b glaciations. The subsequent interval from circa 27 to 24 Ma appears to be an interval of minimal glaciation. Thus this observation does not support previous suggestions that increases in rates of Sr isotopic change are directly associated with the frequency of Antarctic glaciations. Rather, the increase in slope may be related to increased weathering associated with the mid-Oligocene'' glaciation.</t>
  </si>
  <si>
    <t>Rutgers State Univ, Dept Geol Sci, Piscataway, NJ 08854 USA</t>
  </si>
  <si>
    <t>Rutgers University System; Rutgers University New Brunswick</t>
  </si>
  <si>
    <t>Reilly, TJ (corresponding author), US Geol Survey, Div Water Resources, 810 Bear Tavern Rd, W Trenton, NJ 08628 USA.</t>
  </si>
  <si>
    <t>10.1029/2001PA000745</t>
  </si>
  <si>
    <t>639VW</t>
  </si>
  <si>
    <t>WOS:000180650900003</t>
  </si>
  <si>
    <t>Warner, NR; Domack, EW</t>
  </si>
  <si>
    <t>Millennial- to decadal-scale paleoenvironmental change during the Holocene in the Palmer Deep, Antarctica, as recorded by particle size analysis</t>
  </si>
  <si>
    <t>Palmer Deep; grain size; Antarctic Peninsula; Holocene climate cycles</t>
  </si>
  <si>
    <t>SOUTHERN-OCEAN; SEA-ICE; PENINSULA; SEDIMENTATION; STRATIGRAPHY</t>
  </si>
  <si>
    <t>[1] A record of Holocene paleoenvironmental variability from the Antarctic Peninsula has been produced using sediment cores from Site 1098 gathered on Ocean Drilling Project Leg 178. The results provide an accurate and continuous record of biotic and sedimentologic responses to Holocene environmental change. Holes 1098B and 1098C were used to produce the first ultrahigh-resolution record of grain size variability for the past 13,000 years. We utilized samples every 2.5 cm (at 3-5 yr cm(-1)) which involved the analysis of 1466 samples from two holes at the site. Particle size was measured on uniform suspensions of dispersed particles using a laser diffraction method. The particles are mainly grains of silt (65-85%) and clay (15-35%) size. The analyses revealed that in most intervals, biotic particles in the form of diatom frustules (mostly spores) dominate the silt component, which is inversely reflected by magnetic susceptibility (MS). In intervals of the core that deviate from this relationship it was found that the MS signal correlated with medium to fine or coarse silt that was dominated by terrigenous rather than a biogenic (diatom) component. Spectral analyses of the variability in clay and medium-fine silt content over the last similar to9000 calendar years reveal cycles of 1800, 400, 200, 100, 70, 60, and 50 years. The analyses revealed that particle size, specifically medium-fine silt, is an excellent proxy for environmental change in the Palmer Deep region. Such changes may be forced by solar variability (the 200 and 400 year cycles), lunar tidal changes (the 1800 year cycles), and an as yet undetermined multidecadal forcing phenomena that operates in the SE Pacific sector of the Southern Ocean.</t>
  </si>
  <si>
    <t>Miami Univ, Dept Geol, Oxford, OH 45056 USA.</t>
  </si>
  <si>
    <t>edomack@hamilton.edu</t>
  </si>
  <si>
    <t>Warner, Nathaniel/0000-0002-6434-5118</t>
  </si>
  <si>
    <t>10.1029/2000PA000602</t>
  </si>
  <si>
    <t>WOS:000180650900005</t>
  </si>
  <si>
    <t>George, AL; Peat, HJ; Buma, AGJ</t>
  </si>
  <si>
    <t>Evaluation of DNA dosimetry to assess ozone-mediated variability of biologically harmful radiation in Antarctica</t>
  </si>
  <si>
    <t>SOLAR-UV-RADIATION; ULTRAVIOLET-RADIATION; MARINE-PHYTOPLANKTON; BACILLUS-SUBTILIS; PHOTOSYNTHESIS; DEPLETION; WATERS; DIMERS; JAPAN</t>
  </si>
  <si>
    <t>In this study we investigated the use of a DNA dosimeter to accurately measure changes in ultraviolet B radiation (UVBR; 280-315 nm) under Antarctic ozone hole conditions. Naked DNA solution in quartz tubes was exposed to ambient solar radiation at Rothera Research Station, Antarctica, between October and December 1998 for 3 h during UVBR peak hours (1200-1500 h). Trends in UVBR-mediated DNA damage (formation of cyclobutane pyrimidine dimers [CPD]) were related to cloud cover, ozone-column depth and spectroradiometric measurements of ambient radiation. Ozone-column depths ranged from 130 to 375 DU during the study period, resulting in highly variable UVBR doses, from 1.6 to 137 kJ m(-2) over the 3 h exposure, as measured by spectro-radiometry. There was a strong positive correlation (86%) between dosimeter CPD concentrations and DNA-weighted UVBR doses. Ozone depth was a strong predictor of DNA damage (63%), and there was no significant relationship between CPD formation and cloud cover. Subtle changes in spectral characteristics caused by ozone depletion were detected by the biodosimeter; the highest CPD concentrations were observed in October when ozone-mediated shifts favored shorter wavelengths of UVBR. We conclude that the DNA biodosimeter is an accurate indicator of biologically effective UVBR, even under highly variable ozone conditions.</t>
  </si>
  <si>
    <t>British Antarctic Survey, Nat Environm Res Council, Cambridge CB3 0ET, England; Univ Groningen, Dept Marine Biol, NL-9750 AA Haren, Netherlands</t>
  </si>
  <si>
    <t>UK Research &amp; Innovation (UKRI); Natural Environment Research Council (NERC); NERC British Antarctic Survey; University of Groningen</t>
  </si>
  <si>
    <t>George, AL (corresponding author), 151 Wardour St, London W1F 8WE, England.</t>
  </si>
  <si>
    <t>Peat, Helen J/E-9666-2015; Buma, Anita GJ/E-8372-2015</t>
  </si>
  <si>
    <t>AMER SOC PHOTOBIOLOGY</t>
  </si>
  <si>
    <t>AUGUSTA</t>
  </si>
  <si>
    <t>BIOTECH PARK, 1021 15TH ST, SUITE 9, AUGUSTA, GA 30901-3158 USA</t>
  </si>
  <si>
    <t>10.1562/0031-8655(2002)076&lt;0274:EODDTA&gt;2.0.CO;2</t>
  </si>
  <si>
    <t>598EM</t>
  </si>
  <si>
    <t>WOS:000178262500006</t>
  </si>
  <si>
    <t>Mock, T; Kroon, BMA</t>
  </si>
  <si>
    <t>Photosynthetic energy conversion under extreme conditions -: I:: important role of lipids as structural modulators and energy sink under N-limited growth in Antarctic sea ice diatoms</t>
  </si>
  <si>
    <t>PHYTOCHEMISTRY</t>
  </si>
  <si>
    <t>bacillariophyceae; carbohydrates; fatty acids; fluorescence; lipids; low temperature; nitrogen limitation; pigments; proteins; sea ice</t>
  </si>
  <si>
    <t>ISOCHRYSIS-GALBANA HAPTOPHYCEAE; NITROGEN LIMITATION; PHOTOSYSTEM-II; PHOSPHATIDYLGLYCEROL; CYANOBACTERIA; SILICATE; PROTEIN; MODEL; COLD</t>
  </si>
  <si>
    <t>The availability of dissolved nutrients such as nitrate under extreme low temperatures is a strong determinant in the development and growth of ice diatoms. Consequently we investigated regulation of photosynthesis in a mixed culture of three diatom species, which grew in chemostats at -1 degreesC, 15 mumol photons m(-2) s(-1) under N-limitation. When nitrogen is limiting, pigment-protein complexes are one of the most affected structures under low-light conditions. The loss of integral polar thylakoid components destabilized the bilayer structure of the membrane with consequences for lipid composition and the degree of fatty acid desaturation. N-Limitation caused a decrease in monogalactosycliacylglycerol (MGDG) and a simultaneous increase in bilayer forming digalactosyldiacylglycerol (DGDG). Their ratio MGDG:DGDG decreased from 3.4 +/- 0.1 to 1.1 +/- 0.4, while 20:5 n-3 fatty acids of chloroplast related phospholipid classes such as phosphatidylglycerol (PG) increased under N-limitation. These data reveal that lipids are important components, required to sustain membrane structure under a deficiency of integral membrane bound proteins and pigments. Nonetheless, energy conversion at photosystem, H is still affected by N-limitation despite this structural regulation. Photosynthetic quantum yield (F-v/F-m) and electron transport rates decreased under N-limitation caused by an increasing amount of electron acceptors (second stable electron acceptor=Q(B)) which had slower reoxidation kinetics. The energy surplus under these conditions is stored in triacylglycerols, the main energy sink in Antarctic sea ice diatoms under N-limitation. (C) 2002 Elsevier Science Ltd. All rights reserved.</t>
  </si>
  <si>
    <t>Alfred Wegener Inst Polar &amp; Marine Res, D-27570 Bremerhaven, Germany; KroonAqa GmbH, D-27572 Bremerhaven, Germany</t>
  </si>
  <si>
    <t>Alfred Wegener Inst Polar &amp; Marine Res, Handelshafen 12, D-27570 Bremerhaven, Germany.</t>
  </si>
  <si>
    <t>tmock@awi-bremerhaven.de</t>
  </si>
  <si>
    <t>Mock, Thomas/A-3127-2008</t>
  </si>
  <si>
    <t>Mock, Thomas/0000-0001-9604-0362</t>
  </si>
  <si>
    <t>0031-9422</t>
  </si>
  <si>
    <t>Phytochemistry</t>
  </si>
  <si>
    <t>PII S0031-9422(02)00216-9</t>
  </si>
  <si>
    <t>10.1016/S0031-9422(02)00216-9</t>
  </si>
  <si>
    <t>Biochemistry &amp; Molecular Biology; Plant Sciences</t>
  </si>
  <si>
    <t>596WM</t>
  </si>
  <si>
    <t>WOS:000178189500007</t>
  </si>
  <si>
    <t>Photosynthetic energy conversion under extreme conditions - II: the significance of lipids under light limited growth in Antarctic sea ice diatoms</t>
  </si>
  <si>
    <t>bacillariophyceae; carbohydrates; fluorescence induction; lipids; low temperature; pigments; proteins; sea ice</t>
  </si>
  <si>
    <t>FATTY-ACID COMPOSITION; MEMBRANE-LIPIDS; PHYTOPLANKTON; TEMPERATURE; MODEL; ALGAE; ORGANIZATION; INTENSITY; BACTERIA</t>
  </si>
  <si>
    <t>Low photosynthetic active radiation is a strong determinant in the development and growth of sea ice algae. The algae appear to have universal mechanisms to overcome light limitation. One important process, which is induced under light limitation, is the desaturation of chloroplast membrane lipids. In order to discover whether this process is universally valid in sea ice diatoms, we investigated three species coexisting in chemostats illuminated with 15 and 2 mumol photons m(-2) s(-1) at 1 degreesC. Growth under 2 mumol photons m(-2) s(-1) caused a 50% increase in monogalactosyldiacylglycerols (MGDG) thylakoid membrane related 20:5 n-3 fatty acids. This fatty acid supports the fluidity of the thylakoid membrane and therefore the velocity of electron flow, which is indicated by increasing rate constants for the electron transport between Q(A) (first stable electron acceptor) and bound Q(B) (second stable electron acceptor) (11.16 +/- 1.34 to 23.24 +/- 1.35 relative units). Two mumol photons m(-2) s(-1) furthermore resulted in higher amounts of non-lipid bilayer forming MGDG in relation to other bilayer forming lipids, especially digalactosydiacylglycerol (DGDG). The ratio of MGDG:DGDG increased from 3.4 +/- 0.3 to 5.7 +/- 0.3. The existence of bilayer thylakoid membranes with high proportions of non. bilayer forming lipids is only possible when sufficient thylakoid pigment-protein complexes are present. If more thylakoid pigment-protein complexes are present in membranes, as found under extreme light limitation, less bilayer forming lipids such as DGDG are required to stabilize the bilayer structure. Differences in protein contents between both light intensities were not found. Consequently pigment contents which nearly doubled under 2 mumol photons m(-2) s(-1) must be responsible in balancing the potential stability loss resulting from an increase in MGDG:DGDG ratio. (C) 2002 Elsevier Science Ltd. All rights reserved.</t>
  </si>
  <si>
    <t>PII S0031-9422(02)00215-7</t>
  </si>
  <si>
    <t>10.1016/S0031-9422(02)00215-7</t>
  </si>
  <si>
    <t>WOS:000178189500008</t>
  </si>
  <si>
    <t>Walter, T; Palm, HW; Piepiorka, S; Rückert, S</t>
  </si>
  <si>
    <t>Parasites of the Antarctic rattail Macrourus whitsoni (Regan, 1913) (Macrouridae, Gadiformes)</t>
  </si>
  <si>
    <t>WEDDELL-SEA; LIFE-CYCLE; FISHES; ECOLOGY; DIGENEA; ACANTHOCEPHALA; MONOGENEA; ATLANTIC</t>
  </si>
  <si>
    <t>A total of 386 Macrourus whitsoni from Antarctic waters were examined for ecto- and endoparasites. Sixty-five M. whitsoni collected near Halley Bay (Weddell Sea) and 321 specimens from the continental slope off King George Island (South Shetland Islands) were studied for sphyriid copepods directly after being caught. A subsample of 25 specimens from the Weddell Sea and of 9 specimens from King George Island were studied for the presence of other metazoan parasites. Twenty-two species were found, including one myxozoan, six digeneans, one monogenean, three cestodes, seven nematodes, one acanthocephalan and three crustacean species/taxa. While Auerbachia monstrosa and Capillaria sp. are reported for the first time from around the Antarctic, the other parasites have been recorded earlier in the Southern Ocean. Many parasite species found have a wide zoogeographical range and a low host-specificity. The parasite fauna of M. whitsoni. revealed several similarities with its congeners M. carinatus and M. holotrachys from Antarctic and sub-Antarctic waters. This can be explained by a wide host range of many macrourid deep-sea parasites, together with an overlap in distribution patterns of their hosts. Other supporting factors are host migration and a close phylogenetic relationship between the hosts, which enable the parasites to infest all three macrourids. Eight new host and 14 new locality records are established.</t>
  </si>
  <si>
    <t>Bogor Agr Univ, Fac Fisheries &amp; Marine Sci, Bogor 16680, Indonesia; Univ Kiel, Inst Meereskunde, Forsch Bereich Marine Okol 3, D-24105 Kiel, Germany; Univ Dusseldorf, Inst Zoomorphol Zellbiol &amp; Parasitol, D-40225 Dusseldorf, Germany</t>
  </si>
  <si>
    <t>Bogor Agricultural University; University of Kiel; Heinrich Heine University Dusseldorf</t>
  </si>
  <si>
    <t>Walter, T (corresponding author), Bogor Agr Univ, Fac Fisheries &amp; Marine Sci, Campus IPB Darmagar, Bogor 16680, Indonesia.</t>
  </si>
  <si>
    <t>thorsten.walter@gmx.net</t>
  </si>
  <si>
    <t>Rueckert, Sonja/E-4695-2011</t>
  </si>
  <si>
    <t>10.1007/s00300-002-0407-6</t>
  </si>
  <si>
    <t>591DD</t>
  </si>
  <si>
    <t>WOS:000177863700001</t>
  </si>
  <si>
    <t>Bradshaw, CJA; McMahon, CR; Hindell, MA; Pistorius, PA; Bester, MN</t>
  </si>
  <si>
    <t>Do southern elephant seals show density dependence in fecundity?</t>
  </si>
  <si>
    <t>MIROUNGA-LEONINA; MARION-ISLAND; DECLINING POPULATION; AGE; MOVEMENTS</t>
  </si>
  <si>
    <t>Here we provide an alternative interpretation to that of Pistorius et al. (2001), concerning density-dependent increases in fecundity resulting in population regulation of the southern elephant seal population at Marion Island. We do not contradict the findings of Pistorius et al. (2001), because it does appear: (1) that a change in fecundity has been observed, and (2) that some factor related to food supply is the most likely cause for an observed population decline and increase in reproductive performance. The main observation leading to the interpretation of density-dependent feedback in the population of southern elephant seals at Marion Island (one of the Prince Edward Islands) is that there has been a reduction in the population's rate of decline in recent years (reported by Pistorius et al. (1999b)), and that this could have resulted from a per capita increase in food availability. However, because rates of population change are rarely linearly constant, changes in population size should be expressed on a logarithmic, rather than a linear scale, as used by Pistorius et al. (1999b). Re-plotting the linear values of Pistorius et al. (1999b) on the natural logarithmic scale gave no clear change in the rate of population decline; therefore, we conclude that the rate of population change (decline) has remained constant from 1986 to 1997 (r = -0.0439). The Marion Island population is part of the larger Kerguelen population, and there might be considerable overlap in the foraging areas, and possibly prey, exploited by elephant seals from all sub-populations within this larger population. Changes in the number of intra-specific resource competitors at Marion Island are therefore unlikely to alter per capita food availability since the Marion population constitutes approximately 1% of the total Kerguelen population. We propose an alternative hypothesis that the present data support a mechanism driving the proposed increase in per capita food supply through changes in either: (1) inter-specific food competition, (2) rates of predation, (3) changes in weather pattern or (4) disease.</t>
  </si>
  <si>
    <t>Univ Tasmania, Sch Zool, Antarctic Wildlife Res Unit, Hobart, Tas 7001, Australia; Australian Antarctic Div, Kingston, Tas 7050, Australia; Univ Pretoria, Sch Biol Sci, Dept Zool &amp; Entomol, Mammal Res Inst, ZA-0002 Pretoria, South Africa</t>
  </si>
  <si>
    <t>University of Tasmania; Australian Antarctic Division; University of Pretoria</t>
  </si>
  <si>
    <t>Bradshaw, CJA (corresponding author), Univ Tasmania, Sch Zool, Antarctic Wildlife Res Unit, GPO Box 252-05, Hobart, Tas 7001, Australia.</t>
  </si>
  <si>
    <t>Hindell, Mark A/K-1131-2013; McMahon, Clive R/D-5713-2013; Hindell, Mark A/C-8368-2013; Bester, Marthán N/E-5387-2010; Bradshaw, Corey J. A./A-1311-2008</t>
  </si>
  <si>
    <t>McMahon, Clive R/0000-0001-5241-8917; Bradshaw, Corey J. A./0000-0002-5328-7741; Pistorius, Pierre/0000-0001-6561-7069; Hindell, Mark/0000-0002-7823-7185</t>
  </si>
  <si>
    <t>10.1007/s00300-002-0396-5</t>
  </si>
  <si>
    <t>WOS:000177863700003</t>
  </si>
  <si>
    <t>Tanimura, A; Hoshiai, T; Fukuchi, M</t>
  </si>
  <si>
    <t>Change in habitat of the sympagic copepod Paralabidocera antarctica from fast ice to seawater</t>
  </si>
  <si>
    <t>WEDDELL SEA ANTARCTICA; DRESCHERIELLA-GLACIALIS; STEPHOS-LONGIPES; SYOWA STATION; LIFE-CYCLE; CALANOIDA; HARPACTICOIDA</t>
  </si>
  <si>
    <t>The occurrence and age structure of an Antarctic ice-associated copepod, Paralabidocera antarctica, were investigated using a light trap under fast ice near Syowa Station. Sampling was carried out between May and November 1984. P. antarctica were found in high numbers in the traps on 1-2 and 23-24 November. No copepods were found in any trap between May and October. The timing of the absence and occurrence of P. antarctica in the light traps coincided with their ice-dwelling and pelagic life-phases. More than 99% of the total catch was taken in the traps set in the water immediately below the ice in both sampling periods on 1-2 and 23-24 November. The age structure of the P. antarctica populations consisted of copepodite stage III (CIII) to adult and IV (CIV) to adult, respectively. The earlier population was dominated by CIV and CV and the later one by adults. The behavior pattern of P. antarctica is suggested to be controlled by phototactic and thigmotactic traits, and their habitat change from sea ice to seawater may occur by trade-off between two behavioral traits with the acquisition of swimming ability.</t>
  </si>
  <si>
    <t>Natl Inst Polar Res, Tokyo 1738515, Japan</t>
  </si>
  <si>
    <t>Tanimura, A (corresponding author), Mie Univ, Fac Bioresources, Kamihama 1515, Tsu, Mie 5148507, Japan.</t>
  </si>
  <si>
    <t>10.1007/s00300-002-0394-7</t>
  </si>
  <si>
    <t>WOS:000177863700005</t>
  </si>
  <si>
    <t>Marshall, DJ; Chown, SL</t>
  </si>
  <si>
    <t>The acarine fauna of Heard Island</t>
  </si>
  <si>
    <t>SOUTHERN-OCEAN ISLANDS; VERTICAL-DISTRIBUTION; CLIMATE-CHANGE; MITES; COMMUNITIES; INVERTEBRATES; CURCULIONIDAE; COLEOPTERA; ORIBATIDA; PATTERNS</t>
  </si>
  <si>
    <t>Forty-five mite species have been reported from Heard Island. Collections made during a 3-month field expedition (from I I habitat types at over 16 localities) produced I new undescribed taxon (Neocalvolia: Astigmata), confirmed the occurrence of 10 species, and revealed 23 new mite records for the island. Most of the newly recorded mites were collected from the supralittoral (eulittoral fringe) and intertidal (eulittoral) zones, and included Halacaridae (Prostigmata), Ameronothridae (Oribatida) and Hyadesiidae (Astigmata). Some unconfirmed records relate to previous apparent taxonomic misidentification or incomplete resolution. Distinctions are noted between shoreline and terrestrial faunas, with the shoreline taxa being more habitat specific, and their diversity being comparable to that on islands north of the Antarctic Polar Frontal Zone. The depauperate terrestrial fauna on Heard, relative to some peri-Antarctic islands, is probably a consequence of the small habitable area (as a result of considerable glaciation) and the absence of introduced species. Glacial scouring of the shoreline is ongoing, though this is spatially limited and some local shorelines have probably been unaffected by glaciation over geological time.</t>
  </si>
  <si>
    <t>Univ KwaZulu Natal, Sch Life &amp; Environm Sci, ZA-4000 Durban, South Africa; Univ Stellenbosch, Dept Zool, ZA-7602 Stellenbosch, South Africa</t>
  </si>
  <si>
    <t>University of Kwazulu Natal; Stellenbosch University</t>
  </si>
  <si>
    <t>Univ KwaZulu Natal, Sch Life &amp; Environm Sci, Private Bag X54001, ZA-4000 Durban, South Africa.</t>
  </si>
  <si>
    <t>marshall@pixie.udw.ac.za</t>
  </si>
  <si>
    <t>Chown, Steven L/H-3347-2011; Chown, Steven/ABD-7646-2021</t>
  </si>
  <si>
    <t>10.1007/s00300-002-0404-9</t>
  </si>
  <si>
    <t>WOS:000177863700008</t>
  </si>
  <si>
    <t>Smith, VR; Avenant, NL; Chown, SL</t>
  </si>
  <si>
    <t>The diet and impact of house mice on a sub-Antarctic island</t>
  </si>
  <si>
    <t>SOUTHERN-OCEAN ISLANDS; PRINCE-EDWARD-ISLANDS; MARION-ISLAND; CLIMATE-CHANGE; BIOLOGY; CURCULIONIDAE; HISTORY; ECOLOGY; LIFE; SIZE</t>
  </si>
  <si>
    <t>An analysis of the stomach contents of house mice (Mus musculus L.) at three sites on Marion Island (47degreesS, 38degreesE) over a 1-year period showed that the mice feed mostly on terrestrial macroinvertebrates but that plants (mainly seed) are an important component of the diet in mid- to late summer. Larvae of a flightless moth, weevil larvae and adults and, at one of the sites, earthworms were the invertebrate items that showed the highest importance value over the year. Diet diversity was slightly lower in summer and autumn than in winter and spring. Diet variety was lowest in midsummer and highest in either autumn or winter, depending on the site. Mean stomach-content mass was significantly higher in midwinter than during the rest of the year. When offered prey of different types and sizes, mice selected moth larvae first in 92% of the trials; earthworms or weevil adults were most frequently selected second, and weevil larvae fourth. An introduced slug species was selected only once, as the last choice and only part of it was eaten. With both moth larvae and,earthworms, the heaviest individual offered was almost always chosen first. Surprisingly, mice never consumed more than about half of the seed offered to them and their condition deteriorated severely during the trials with seed; in a third of the trials with two types of seed, the mice completely ignored the seed. The impact of mice predation on invertebrates was assessed at two of the sites - a dry mire and a coastal biotic herbfield that is influenced by seabird and seal manuring. Moth larvae and adults, weevil larvae and adults, earthworms, spiders and flies made up &gt; 90% of the animal remains in the stomach contents over the year and, on average, the mice daily consumed 45 g (dry mass) ha(-1) of those invertebrates at the mire and 194 g ha(-1) at the biotic site. Moth larvae made up a substantial proportion of these amounts; average daily consumption was 30 g ha(-1) at the mire and 107 g ha(-1) at the biotic site. In terms of the amount consumed in relation to biomass, the heaviest impact of mice at both sites was on weevil adults; at the biotic site mice daily consumed 13% of weevil adult biomass in autumn and nearly 6 times the annual average biomass over the year. At the mire, slightly more than the annual average weevil adult biomass was consumed over the year. The consumption of invertebrates by mice found in this study (1992/1993) was about 20% greater than in 1979/1980. The most striking changes in annual average consumption rate between 1979/1980 and 1992/1993 were for weevil larvae (increased nearly fourfold) and earthworms (increased sixfold at the biotic site and threefold at the mire). In contrast, the consumption of spiders at both sites decreased between 1979/1980 and 1992/1993.</t>
  </si>
  <si>
    <t>Univ Stellenbosch, Dept Bot, ZA-7602 Matieland, South Africa; Natl Museum, Dept Mammal, ZA-9300 Bloemfontein, South Africa; Univ Stellenbosch, Dept Zool, ZA-7602 Matieland, South Africa</t>
  </si>
  <si>
    <t>Stellenbosch University; Stellenbosch University</t>
  </si>
  <si>
    <t>Univ Stellenbosch, Dept Bot, Private Bag X1, ZA-7602 Matieland, South Africa.</t>
  </si>
  <si>
    <t>vs2@.sun.ac.za</t>
  </si>
  <si>
    <t>Avenant, Nico/0000-0002-5390-9010</t>
  </si>
  <si>
    <t>10.1007/s00300-002-0405-8</t>
  </si>
  <si>
    <t>WOS:000177863700010</t>
  </si>
  <si>
    <t>Wilson, P; Clark, R; Birnie, J; Moore, DM</t>
  </si>
  <si>
    <t>Late Pleistocene and Holocene landscape evolution and environmental change in the Lake Sulivan area, Falkland Islands, South Atlantic</t>
  </si>
  <si>
    <t>QUATERNARY SCIENCE REVIEWS</t>
  </si>
  <si>
    <t>TIERRA-DEL-FUEGO; JAMES-ROSS-ISLAND; GLACIER FLUCTUATIONS; QUATERNARY GLACIATIONS; ANTARCTIC PENINSULA; TREE-RING; OCEAN; PATAGONIA; RECORD; CHRONOLOGY</t>
  </si>
  <si>
    <t>Late Pleistocene and Holocene landscape evolution around Lake Sulivan, Falkland Islands, South Atlantic, is assessed using morphological, stratigraphical, paleoecological and C-14-dating evidence. Data indicate a complex landscape history involving frost-related activity, ventifact development, growth and degradation of peat terrain, expansion and contraction of lakes, and the development, stabilisation and subsequent reworking of alluvial and aeolian sand bodies. Late Pleistocene cold conditions favoured production of sandy diamicts on hillslopes, and ventifacts on outcrops and blockfield clasts. Lateglacial climatic amelioration was marked by early growth of peat (ca 16,500 cal. yr BP). Since then, peat accumulation, changes in lake areas and depths, and alluvial and/or aeolian sand deposition have been recurring and dominant features of landscape change which throughout the Late Pleistocene and early Holocene may have been a response to near-synchronous climatic fluctuations along the South America Antarctica axis. Marked landscape changes around Lake Sulivan coincided with intervals of glacier readvance in South America and South Georgia at ca 3200-1900 and 700-100 cal. yr BP: with lower lake levels and aeolian sand transport from exposed lakebeds and shorelines implying greater aridity in the Falklands than at present. (C) 2002 Elsevier Science Ltd. All rights reserved.</t>
  </si>
  <si>
    <t>Univ Ulster, Sch Biol &amp; Environm Sci, Coleraine BT52 1SA, Londonderry, North Ireland; Parcey House, Penrith CA11 0NZ, Cumbria, England; Univ Gloucestershire, Geog &amp; Environm Management Res Unit, Cheltenham GL50 4AZ, Glos, England; Univ Reading, Dept Bot, Reading RG6 6AS, Berks, England</t>
  </si>
  <si>
    <t>Ulster University; University of Gloucestershire; University of Reading</t>
  </si>
  <si>
    <t>Wilson, P (corresponding author), Univ Ulster, Sch Biol &amp; Environm Sci, Cromore Rd, Coleraine BT52 1SA, Londonderry, North Ireland.</t>
  </si>
  <si>
    <t>p.wilson@ulster.ac.uk</t>
  </si>
  <si>
    <t>0277-3791</t>
  </si>
  <si>
    <t>1873-457X</t>
  </si>
  <si>
    <t>QUATERNARY SCI REV</t>
  </si>
  <si>
    <t>Quat. Sci. Rev.</t>
  </si>
  <si>
    <t>16-17</t>
  </si>
  <si>
    <t>PII S0277-3791(02)00008-2</t>
  </si>
  <si>
    <t>10.1016/S0277-3791(02)00008-2</t>
  </si>
  <si>
    <t>599LN</t>
  </si>
  <si>
    <t>WOS:000178336200005</t>
  </si>
  <si>
    <t>Reconstruction of the West Antarctic Ice Sheet in Pine Island Bay during the last glacial maximum and its subsequent retreat history</t>
  </si>
  <si>
    <t>PLEISTOCENE-HOLOCENE RETREAT; STREAM-B; ROSS SEA; SEDIMENTS; SYSTEM</t>
  </si>
  <si>
    <t>Marine-geological and -geophysical studies were conducted to determine the Late Quaternary glacial history of the West Antarctic Ice Sheet in Pine Island Bay, Antarctica. The data set includes sea-floor imagery in the form of multibeam swath bathymetry and deep-tow side-scan sonar surveys. Distribution of sedimentary deposits and basal surface conditions are revealed through intermediate-resolution seismic data and chirp (3.5 kHz) sub-bottom profiles. Sedimentary deposits were sampled with piston cores, and calcareous material was dated using AMS radiocarbon techniques. Results from the study indicate the ice sheet was grounded on the outer shelf during its maximum extent sometime in the past. Thick ice, flowing slowly and resting on crystalline bedrock, was influenced by significant amounts of subglacial meltwater on the inner shelf. Thinner, but more rapidly flowing, ice characterized the seaward extent of the ice sheet, which was grounded on a sedimentary substrate. Deglaciation occurred in two phases, beginning soon after the last glacial maximum. The outer-most extension of the ice sheet retreated gradually, pausing on a bathymetric high on the middle shelf by similar to 16,000 C-14 years ago. Between similar to 16,000 and 12,000 C-14 years ago, ice-sheet retreat resumed, and may have proceeded rapidly to reach a present-day position by similar to 10,000 C-14 years ago. (C) 2002 Elsevier Science Ltd. All rights reserved.</t>
  </si>
  <si>
    <t>Rice Univ, Dept Earth Sci, 6100 Main St, Houston, TX 77005 USA.</t>
  </si>
  <si>
    <t>PII S0277-3791(02)00006-9</t>
  </si>
  <si>
    <t>10.1016/S0277-3791(02)00006-9</t>
  </si>
  <si>
    <t>WOS:000178336200008</t>
  </si>
  <si>
    <t>Ren, JW; Allison, I; Xiao, CD; Qin, DH</t>
  </si>
  <si>
    <t>Mass balance of the Lambert Glacier basin, East Antarctica</t>
  </si>
  <si>
    <t>mass balance; Antarctic Ice Sheet; Lambert Glacier</t>
  </si>
  <si>
    <t>PRINCESS-ELIZABETH-LAND; SNOW-ACCUMULATION; TEMPERATURE; ICE</t>
  </si>
  <si>
    <t>Since it is the largest glacier system in Antarctica, the Lambert Glacier basin plays an important role in the mass balance of the overall Antarctic ice sheet. The observed data and shallow core studies from the inland traverse investigations in recent years show that there are noticeable differences in the distribution and variability of the snow accumulation rate between east and west sides. On the east side, the accumulation is higher on the average and has increased in the past decades, while on the west side it is contrary. The ice movement measurement and the ice flux calculation indicate that the ice velocity and the flux are larger in east than in west, meaning that the major part of mass supply for the glacier is from the east side. The mass budget estimate with the latest data gives that the integrated accumulation over the upstream area of the investigation traverse route is larger than the outflow ice flux by 13%, suggesting that the glacier basin is in a positive mass balance state and the ice thickness will increase if the present climate is keeping.</t>
  </si>
  <si>
    <t>Chinese Acad Sci, Cold &amp; Arid Reg Environm &amp; Engn Res Inst, Lab Ice Core &amp; Cold Reg Environm, Lanzhou 730000, Peoples R China; Antarctic CRC, Hobart, Tas 7001, Australia; Australian Antarctic Div, Hobart, Tas 7001, Australia</t>
  </si>
  <si>
    <t>Ren, JW (corresponding author), Chinese Acad Sci, Cold &amp; Arid Reg Environm &amp; Engn Res Inst, Lab Ice Core &amp; Cold Reg Environm, Lanzhou 730000, Peoples R China.</t>
  </si>
  <si>
    <t>10.1007/BF02879518</t>
  </si>
  <si>
    <t>585VR</t>
  </si>
  <si>
    <t>WOS:000177545700007</t>
  </si>
  <si>
    <t>Leck, C; Heintzenberg, J; Engardt, M</t>
  </si>
  <si>
    <t>A meridional profile of the chemical composition of submicrometre particles over the East Atlantic Ocean: regional and hemispheric variabilities</t>
  </si>
  <si>
    <t>TELLUS SERIES B-CHEMICAL AND PHYSICAL METEOROLOGY</t>
  </si>
  <si>
    <t>GLOBAL 3-DIMENSIONAL MODEL; SULFATE MOLAR RATIO; DIMETHYL SULFIDE; AEROSOL-PARTICLES; MARINE AEROSOL; METHANESULFONATE; ABSORPTION; ATMOSPHERE; OXIDATION; SULFUR</t>
  </si>
  <si>
    <t>Within the framework of SWEDARP (Swedish Antarctic Program) 92,93 an aerosol sampling program was carried out on board of M/S Palarbjorn which carried staff and material to the Nordic Antarctic Field exercises during the Austral summer 1992/1993. The cruise started 11 November 1992 from Oslo, went via Cape Town to Antarctica, and then back to Cape Town ,here the ship arrived on 4 January 1993. During the cruise, a meridional profile of physical and chemical submicrometre aerosol properties was derived covering the East Atlantic Ocean from 60degreesN to 70degreesS. The multicomponent aerosol data set combined with a trajectory analysis revealed a systematic meridional distribution of aerosol sources over the Atlantic that covered European and African continental Plumes and, South of 15degreesS, a largely biologically controlled marine aerosol. Median number concentrations calculated over the whole cruise spanned a factor of 20 between 2000 and 100 cm(-3), while total analyzed mass concentrations ranged between 7800 and 40 ng m(3). From the biologically dominated subset of the data in the southern hemisphere, relationships were developed that allowed an apportionment of the observed sulfate and ammonium concentration to biogenic and anthropogenic Sources over the whole meridional aerosol profile.</t>
  </si>
  <si>
    <t>Stockholm Univ, Dept Meteorol, S-10691 Stockholm, Sweden; Inst Troposher Res, D-04318 Leipzig, Germany; Swedish Meteorol &amp; Hydrol Inst, S-60176 Norrkoping, Sweden</t>
  </si>
  <si>
    <t>Stockholm University; Leibniz Institut fur Tropospharenforschung (TROPOS); Swedish Meteorological &amp; Hydrological Institute</t>
  </si>
  <si>
    <t>Stockholm Univ, Dept Meteorol, S-10691 Stockholm, Sweden.</t>
  </si>
  <si>
    <t>lina@misu.su.se</t>
  </si>
  <si>
    <t>Engardt, Magnuz/KHC-6406-2024</t>
  </si>
  <si>
    <t>Engardt, Magnuz/0000-0002-4695-1106</t>
  </si>
  <si>
    <t>1600-0889</t>
  </si>
  <si>
    <t>TELLUS B</t>
  </si>
  <si>
    <t>Tellus Ser. B-Chem. Phys. Meteorol.</t>
  </si>
  <si>
    <t>10.1034/j.1600-0889.2002.01318.x</t>
  </si>
  <si>
    <t>596VD</t>
  </si>
  <si>
    <t>Green Submitted, hybrid, Green Published</t>
  </si>
  <si>
    <t>WOS:000178186400006</t>
  </si>
  <si>
    <t>Suzuki, T; Iizuka, Y; Matsuoka, K; Furukawa, T; Kamiyama, K; Watanabe, O</t>
  </si>
  <si>
    <t>Distribution of sea salt components in snow cover along the traverse route from the coast to Dome Fuji station 1000 km inland at east Dronning Maud Land, Antarctica</t>
  </si>
  <si>
    <t>We show and discuss the results of the regional distribution of Cl- and Na+ concentrations in snow cover along the study route from the coast to Dome Fuji station, 1000 km inland, in east Dronning Maud Land, Antarctica. The concentrations of Cl- and Na+ at the coast exponentially decreased with distance from the coast up to 200 km inland. Between 200-1000 km inland, the concentrations of Na+ were nearly constant. On the other hand, the concentrations of Cl- increased with distance beyond 750 km inland. Furthermore, the contribution factors between Cl- and Na+ decreased and the Cl-/Na+ ratio and the nssCl(-)/Cl- ratio increased toward the interior of the continent. These results indicate that sea salt aerosols are transported from the coastal region toward the inland region of the Antarctic continent, and that a source of Cl- other than sea salt exists in the inland plateau of Antarctica.</t>
  </si>
  <si>
    <t>Yamagata Univ, Dept Earth &amp; Environm Sci, Fac Sci, Yamagata 9908560, Japan; Natl Inst Polar Res, Itabashi Ku, Tokyo 1738515, Japan; Hokkaido Univ, Inst Low Temp Sci, Kita Ku, Sapporo, Hokkaido 0600819, Japan</t>
  </si>
  <si>
    <t>Yamagata University; Research Organization of Information &amp; Systems (ROIS); National Institute of Polar Research (NIPR) - Japan; Hokkaido University</t>
  </si>
  <si>
    <t>Yamagata Univ, Dept Earth &amp; Environm Sci, Fac Sci, Yamagata 9908560, Japan.</t>
  </si>
  <si>
    <t>suzuki@sci.yamagata-u.ac.jp</t>
  </si>
  <si>
    <t>Iizuka, Yoshinori/D-9112-2012; Matsuoka, Kenichi/B-7298-2017</t>
  </si>
  <si>
    <t>Iizuka, Yoshinori/0000-0001-7241-6062; Matsuoka, Kenichi/0000-0002-3587-3405</t>
  </si>
  <si>
    <t>10.1034/j.1600-0889.2002.201362.x</t>
  </si>
  <si>
    <t>WOS:000178186400008</t>
  </si>
  <si>
    <t>Lentini, CAD; Olson, DB; Podestá, GP</t>
  </si>
  <si>
    <t>Statistics of Brazil Current rings observed from AVHRR:: 1993 to 1998 -: art. no. 1811</t>
  </si>
  <si>
    <t>SOUTH-ATLANTIC; THERMOCLINE VENTILATION; ALTIMETER OBSERVATIONS; OCEAN; CIRCULATION</t>
  </si>
  <si>
    <t>A 6-year time series of sea surface temperature fields derived from NOAA polar-orbiter AVHRR 5-day composites is used to estimate the lifetime, size, and trajectory of 43 warm-core rings shed by the Brazil Current at the Southwestern Atlantic region in a consistent fashion for the first time. Ring lifetimes range from 11 to 95 days, and are not bi-modal as is the case for the Gulf Stream anticyclones. Translational speeds range from 4.2 to 27.2 km/day with a mean value of 13.1 km/day. After formation, rings are mostly elliptical with a mean major radius of 126+/-50 km and a minor radius of 65+/-22 km. None of the rings seem to last more than four months in the region. An attempt to explore possible connections between ring shedding variability and the Antarctic Dipole is also addressed.</t>
  </si>
  <si>
    <t>Univ Miami, Rosenstiel Sch Marine &amp; Atmospher Sci, MPO Div, Miami, FL 33149 USA</t>
  </si>
  <si>
    <t>University of Miami</t>
  </si>
  <si>
    <t>Univ Miami, Rosenstiel Sch Marine &amp; Atmospher Sci, MPO Div, 4600 Rickenbacker Causeway, Miami, FL 33149 USA.</t>
  </si>
  <si>
    <t>clentini@rsmas.miami.edu; dolson@rsmas.miami.edu; gpodesta@rsmas.miami.edu</t>
  </si>
  <si>
    <t>Lentini, Carlos/AAA-4955-2019; Lentini, Carlos/C-9284-2013; Podesta, Guillermo/L-7100-2015</t>
  </si>
  <si>
    <t>Lentini, Carlos/0000-0003-0406-1006; Lentini, Carlos/0000-0003-0406-1006; Olson, Donald/0000-0001-7180-5672; Podesta, Guillermo/0000-0002-4909-0567</t>
  </si>
  <si>
    <t>AUG 31</t>
  </si>
  <si>
    <t>10.1029/2002GL015221</t>
  </si>
  <si>
    <t>622ET</t>
  </si>
  <si>
    <t>WOS:000179634100002</t>
  </si>
  <si>
    <t>Orsi, AH; Smethie, WM; Bullister, JL</t>
  </si>
  <si>
    <t>On the total input of Antarctic waters to the deep ocean: A preliminary estimate from chlorofluorocarbon measurements</t>
  </si>
  <si>
    <t>Antarctic; chlorofluorocarbon; inventory; production; deep; ocean</t>
  </si>
  <si>
    <t>LABRADOR SEA-WATER; NORTH-ATLANTIC; BOTTOM WATER; SOUTHERN-OCEAN; WEDDELL SEA; HYDROGRAPHIC SECTION; WILKES-LAND; SLOPE FRONT; CIRCULATION; STRATIFICATION</t>
  </si>
  <si>
    <t>[1] Deep ocean inventories of dissolved chlorofluorocarbon-11 (CFC-11) along representative sections off Antarctica provide the first estimate of the overall strength of all dense water sources in the Southern Ocean. Their formation rates are reported for three density layers that span the main water masses involved in the lower limb of the Thermohaline Circulation (THC). The bottom layer is supplied via sinking of Antarctic Bottom Water (AABW) produced at a few continental shelves. The middle layer receives the offshore injection of ventilated Modified Circumpolar Deep Water (MCDW) produced along much of the lengthy Antarctic Slope Front. The top layer is ventilated by northward export of Antarctic Surface Water into the Upper Circumpolar Deep Water of the Antarctic Circumpolar Current. Average Southern Ocean inputs to the upper two layers of the deep ocean for the 1970-1990 period are derived on the basis of the CFC-11 distributions along meridional sections, the mean CFC-11 saturations of all water mass ingredients, and the inferred mixing leading to production of dense source waters. About 5.4 +/- 1.7 Sv (1 SV-10(6) m(3)s(-1)) of near-freezing Shelf Water ventilate the bottom layer, and 4.7 +/- 1.7 Sv and 3.6 +/- 1.3 Sv of cold Antarctic Surface Water ventilate the middle and top layers. Therefore the total contribution of ventilated Southern Ocean waters to the lower limb of the global THC is about 14 Sv. This is close to the about 17 Sv estimated for North Atlantic near-surface sources from CFC-11 inventories. Their entrainment of 7.4 +/- 2.4 Sv of CFC-poor subsurface Lower Circumpolar Deep Water during the formation and sinking of AABW and MCDW raises the total Southern Ocean input to the deep ocean to about 21 Sv.</t>
  </si>
  <si>
    <t>Texas A&amp;M Univ, Dept Oceanog, College Stn, TX 77843 USA; NOAA, Pacific Marine Environm Lab, Seattle, WA 98115 USA; Columbia Univ, Lamont Doherty Earth Observ, Palisades, NY 10964 USA</t>
  </si>
  <si>
    <t>Texas A&amp;M University System; Texas A&amp;M University College Station; National Oceanic Atmospheric Admin (NOAA) - USA; Columbia University</t>
  </si>
  <si>
    <t>aorsi@tamu.edu; bsmeth@ldeo.columbia.edu; bullister@pmel.noaa.gov</t>
  </si>
  <si>
    <t>C8</t>
  </si>
  <si>
    <t>10.1029/2001JC000976</t>
  </si>
  <si>
    <t>633YP</t>
  </si>
  <si>
    <t>WOS:000180312800003</t>
  </si>
  <si>
    <t>Andreas, EL; Guest, PS; Persson, POG; Fairall, CW; Horst, TW; Moritz, RE; Semmer, SR</t>
  </si>
  <si>
    <t>Near-surface water vapor over polar sea ice is always near ice saturation</t>
  </si>
  <si>
    <t>air-sea-ice interaction; humidity measurements; leads; polar marine boundary layer; SHEBA; water vapor</t>
  </si>
  <si>
    <t>RESCALING HUMIDITY SENSORS; WESTERN WEDDELL SEA; BOUNDARY-LAYER; TRANSFER-COEFFICIENTS; TEMPERATURES WELL; ENERGY EXCHANGE; ARCTIC-OCEAN; HEAT-FLUX; INVERSIONS; FORMULATION</t>
  </si>
  <si>
    <t>[1] During our yearlong participation in the Surface Heat Budget of the Arctic Ocean experiment (SHEBA), we found the measured relative humidity, figured for saturation with respect to ice, to almost always be near 100%. Often, multiple humidity sensors even showed supersaturation. Four months of observations over sea ice in the Antarctic showed the same behavior. These frequent, ubiquitous, and reproducible measurements are too compelling to discount. We hypothesize that the high relative humidity is a consequence of plentiful water vapor given up by leads and polynyas. We thus develop a simple time-dependent vapor budget model that we solve analytically to assess the role of leads in supplying water vapor to the polar atmospheric boundary layer. The solution to that model shows that (1) because the polar marine boundary layer is generally thin, its timescale for reaching moisture equilibrium is much shorter than the timescale of the synoptic processes that tend to disrupt equilibrium, and (2) because they have relatively warm surfaces, open leads and polynyas supply water vapor more rapidly than the surrounding sea ice surface can remove it, despite an open water fractional area that may be only 5%. In concert, the two processes commonly lead to water vapor densities in the boundary layer over sea ice that are near the value for ice saturation.</t>
  </si>
  <si>
    <t>USA, Cold Reg Res &amp; Engn Lab, Hanover, NH 03755 USA; USN, Postgrad Sch, Dept Meteorol, Monterey, CA 93943 USA; Univ Colorado, Cooperat Inst Res Environm Sci, Boulder, CO 80309 USA; NOAA, Environm Technol Lab, Boulder, CO 80303 USA; Natl Ctr Atmospher Res, Boulder, CO 80307 USA; Univ Washington, Polar Sci Ctr, Seattle, WA 98105 USA</t>
  </si>
  <si>
    <t>United States Department of Defense; United States Army; U.S. Army Corps of Engineers; U.S. Army Engineer Research &amp; Development Center (ERDC); Cold Regions Research &amp; Engineering Laboratory (CRREL); United States Department of Defense; United States Navy; Naval Postgraduate School; University of Colorado System; University of Colorado Boulder; National Oceanic Atmospheric Admin (NOAA) - USA; National Center Atmospheric Research (NCAR) - USA; University of Washington; University of Washington Seattle</t>
  </si>
  <si>
    <t>USA, Cold Reg Res &amp; Engn Lab, 72 Lyme Rd, Hanover, NH 03755 USA.</t>
  </si>
  <si>
    <t>eandreas@crrel.usace.army.mil; pguest@nps.navy.mil; ola.persson@noaa.gov; chris.fairall@noaa.gov; horst@ucar.edu; dickm@apl.washington.edu; semmer@atd.ucar.edu</t>
  </si>
  <si>
    <t>fairall, christopher/G-5970-2019</t>
  </si>
  <si>
    <t>fairall, christopher/0000-0003-4073-7413</t>
  </si>
  <si>
    <t>AUG 30</t>
  </si>
  <si>
    <t>10.1029/2000JC000411</t>
  </si>
  <si>
    <t>633YD</t>
  </si>
  <si>
    <t>WOS:000180311700004</t>
  </si>
  <si>
    <t>Rignot, E; Thomas, RH</t>
  </si>
  <si>
    <t>Mass balance of polar ice sheets</t>
  </si>
  <si>
    <t>ELEVATION CHANGE; PINE ISLAND; GREENLAND; CLIMATE; SHELF; GLACIER; RETREAT; STREAMS; FUTURE; ACCELERATION</t>
  </si>
  <si>
    <t>Recent advances in the determination of the mass balance of polar ice sheets show that the Greenland Ice Sheet is losing mass by near-coastal thinning, and that the West Antarctic Ice Sheet, with thickening in the west and thinning in the north, is probably thinning overall. The mass imbalance of the East Antarctic Ice Sheet is likely to be small, but even its sign cannot yet be determined. Large sectors of ice in southeast Greenland, the Amundsen Sea Embayment of West Antarctica, and the Antarctic Peninsula are changing quite rapidly as a result of processes not yet understood.</t>
  </si>
  <si>
    <t>CALTECH, Jet Prop Lab, Pasadena, CA 91109 USA; EG&amp;G Serv, Wallops Isl Flight Facil, Wallops Isl, VA 23337 USA</t>
  </si>
  <si>
    <t>California Institute of Technology; National Aeronautics &amp; Space Administration (NASA); NASA Jet Propulsion Laboratory (JPL); National Aeronautics &amp; Space Administration (NASA); NASA Goddard Space Flight Center; Wallops Flight Facility</t>
  </si>
  <si>
    <t>CALTECH, Jet Prop Lab, Mail Stop 300-235, Pasadena, CA 91109 USA.</t>
  </si>
  <si>
    <t>eric@adelie.jpl.nasa.gov; robert_thomas@hotmail.com</t>
  </si>
  <si>
    <t>Rignot, Eric/A-4560-2014</t>
  </si>
  <si>
    <t>Rignot, Eric/0000-0002-3366-0481</t>
  </si>
  <si>
    <t>1095-9203</t>
  </si>
  <si>
    <t>10.1126/science.1073888</t>
  </si>
  <si>
    <t>588JA</t>
  </si>
  <si>
    <t>WOS:000177697300043</t>
  </si>
  <si>
    <t>Croxall, JP; Trathan, PN; Murphy, EJ</t>
  </si>
  <si>
    <t>Environmental change and Antarctic seabird populations</t>
  </si>
  <si>
    <t>SEA-ICE EXTENT; EMPEROR PENGUINS; CLIMATE-CHANGE; TOP PREDATOR; VARIABILITY; SURVIVAL</t>
  </si>
  <si>
    <t>Recent changes in Antarctic seabird populations may reflect direct and indirect responses to regional climate change. The best long-term data for high-latitude Antarctic seabirds (Adelie and Emperor penguins and snow petrels) indicate that winter sea-ice has a profound influence. However, some effects are inconsistent between species and areas, some in opposite directions at different stages of breeding and life cycles, and others remain paradoxical. The combination of recent harvest driven changes and those caused by global warming may produce rapid shifts rather than gradual changes.</t>
  </si>
  <si>
    <t>j.croxall@bas.ac.uk</t>
  </si>
  <si>
    <t>10.1126/science.1071987</t>
  </si>
  <si>
    <t>WOS:000177697300045</t>
  </si>
  <si>
    <t>Flentje, H; Dörnbrack, A; Fix, A; Meister, A; Schmid, H; Füglistaler, S; Luo, BP; Peter, T</t>
  </si>
  <si>
    <t>Denitrification inside the stratospheric vortex in the winter of 1999-2000 by sedimentation of large nitric acid trihydrate particles -: art. no. 4314</t>
  </si>
  <si>
    <t>airborne lidar; polar stratospheric clouds; denitrification; nitric acid trihydrate</t>
  </si>
  <si>
    <t>AIRBORNE LIDAR MEASUREMENTS; ARCTIC POLAR VORTEX; ANTARCTIC STRATOSPHERE; OZONE DEPLETION; DEHYDRATION; CLOUDS; SCATTERING; LIGHT; CH4; H2O</t>
  </si>
  <si>
    <t>[1] Synoptic-scale polar stratospheric clouds (PSCs) have been measured with an aircraft-borne lidar south of Spitsbergen in early February 2000. The PSCs of moderately depolarizing stratified layers extended from near the tropopause (10-11 km) up to 20 km altitude. Their internal structure in backscatter ratio reflects the variability of the particles' concentration rather than manifold sizes and phases of different optical efficiency. Actually, their size distribution was nearly monodisperse. According to T-matrix calculations, low backscatter ratios (gamma &lt; 3), color ratios of 1-1.5, and moderate depolarization ratios ( a 0.15-0.2) indicate that the observed layers were composed of aspherical nitric acid trihydrate (NAT) particles larger than 2 m m. During three turning point missions into the cold vortex core a significant settling of the particle layers was observed between aligned outgoing and incoming legs. Low stratospheric winds and quasi-Lagrangian flight heading minimized horizontal drifts between the probed volumes. A NAT particle sedimentation velocity of 69 +/- 14 m/h is derived by cross-covariance analysis of corresponding pairs of two-dimensional backscatter sections of the layers. This implies a particle size of r(p) approximate to 7-8 mu m and a mixing ratio of condensed HNO3 near 2 ppbv. The downward NO gamma flux below 19 km altitude amounts to j approximate to 3 ppbv km/d. Based on particle back trajectory analysis, this flux, derived from the observations in different regions of the Northern European Ice Sea, has a significant denitrification potential.</t>
  </si>
  <si>
    <t>DLR Oberpfaffenhofen, Inst Phys Atmosphare, D-82230 Wessling, Germany; Swiss Fed Inst Technol, Lab Atmospharenphys, CH-8093 Zurich, Switzerland</t>
  </si>
  <si>
    <t>Helmholtz Association; German Aerospace Centre (DLR); Swiss Federal Institutes of Technology Domain; ETH Zurich</t>
  </si>
  <si>
    <t>DLR Oberpfaffenhofen, Inst Phys Atmosphare, D-82230 Wessling, Germany.</t>
  </si>
  <si>
    <t>harald.flentje@dlr.de</t>
  </si>
  <si>
    <t>Fueglistaler, Stephan/I-5803-2013; Peter, Thomas/B-2529-2018</t>
  </si>
  <si>
    <t>Fueglistaler, Stephan/0000-0002-0419-440X; Peter, Thomas/0000-0002-7218-7156; Luo, Beiping/0000-0003-1629-881X; Fix, Andreas/0000-0003-2818-9290</t>
  </si>
  <si>
    <t>AUG 29</t>
  </si>
  <si>
    <t>D16</t>
  </si>
  <si>
    <t>10.1029/2001JD001015</t>
  </si>
  <si>
    <t>634GN</t>
  </si>
  <si>
    <t>WOS:000180331800004</t>
  </si>
  <si>
    <t>Pursell, CJ; Everest, MA; Falgout, ME; Sanchez, DD</t>
  </si>
  <si>
    <t>Ionization of nitric acid on ice</t>
  </si>
  <si>
    <t>JOURNAL OF PHYSICAL CHEMISTRY A</t>
  </si>
  <si>
    <t>INFRARED-SPECTRA; CHLORINE DIOXIDE; ANTARCTIC OZONE; HNO3; SURFACE; PHOTOCHEMISTRY; STRATOSPHERE; ADSORPTION; PARTICLES; DIFFUSION</t>
  </si>
  <si>
    <t>The ionization of nitric acid on the surface of crystalline ice was examined from 130 to 150 K using FTIR transmission spectroscopy. A spectral feature of the hydronium ion, H3O+, was monitored as a function of time. The results are best understood when they are separated into (a) low and (b) high nitric acid exposure, depending upon the amount of nitric acid adsorbed on the ice surface. (a) For low nitric acid exposure ((similar to2-20) x 10(15) molecules/cm(2)), the absorbance of H3O+ can be fit to a single exponential (i.e., first-order expression). The resulting rate constant, k = (4.9 +/- 0.7) x 10(-3) s(-1), is attributed to the dissolution of the ions in,the ice surface layer (i.e., a reactive layer on the ice surface). The thickness of this ice surface layer is estimated to be 10 nm. (b) For high nitric acid exposure ((similar to20-200) x 10(15) molecules/cm(2)), the absorbance of H3O+ can be fit to a double exponential expression that is composed of the first-order rate constant above, along with another first-order rate constant, k' = (5.2 +/- 0.7) x 10(-4) s(-1). This rate constant is attributed to the dissolution of ions in an acid-rich ice surface layer. Both rate constants are independent of temperature, indicating a small activation energy (E-a = 0 +/- 2 kcal/mol).</t>
  </si>
  <si>
    <t>Trinity Univ, Dept Chem, San Antonio, TX 78212 USA</t>
  </si>
  <si>
    <t>Trinity University</t>
  </si>
  <si>
    <t>Pursell, CJ (corresponding author), Trinity Univ, Dept Chem, 715 Stadium Dr, San Antonio, TX 78212 USA.</t>
  </si>
  <si>
    <t>Everest, Michael/0000-0002-2504-4486</t>
  </si>
  <si>
    <t>1089-5639</t>
  </si>
  <si>
    <t>J PHYS CHEM A</t>
  </si>
  <si>
    <t>J. Phys. Chem. A</t>
  </si>
  <si>
    <t>10.1021/jp025697k</t>
  </si>
  <si>
    <t>Chemistry, Physical; Physics, Atomic, Molecular &amp; Chemical</t>
  </si>
  <si>
    <t>Chemistry; Physics</t>
  </si>
  <si>
    <t>588MJ</t>
  </si>
  <si>
    <t>WOS:000177705000018</t>
  </si>
  <si>
    <t>Miners, WD; Wolff, EW; Moore, JC; Jacobel, R; Hempel, L</t>
  </si>
  <si>
    <t>Modeling the radio echo reflections inside the ice sheet at Summit, Greenland</t>
  </si>
  <si>
    <t>GRIP; radio echo; DEP; conductivity; radargram; seismogram</t>
  </si>
  <si>
    <t>POLAR ICE; ELECTRICAL STRATIGRAPHY; DIELECTRIC-CONSTANT; CORE; LAYERS; SEISMOGRAMS; ANTARCTICA; SNOW; ACID</t>
  </si>
  <si>
    <t>Radio echo surveys to determine the thickness of ice sheets often record reflections from inside the ice. To increase our understanding of these internal reflections, we have used synthetic seismogram techniques from early seismic modeling to construct two models. Both models were one-dimensional; the first considered only primary reflections, while the second included both primary and multiple reflections. The inputs to both models were a radio pulse and data from the Greenland Ice Core Project (GRIP) core of length 3028 m. The ice core data consisted of a profile of the high-frequency conductivity, calculated from dielectric profile (DEP) measurements, and a smooth profile of the real permittivity. The models produced synthetic radargrams which are the energy reflected from conductivity variations as a function of the two-way travel time. Both models gave similar results, indicating that multiples do not alter the travel time of the reflections, i.e., no O'Doherty-Anstey effect at our time resolution. One of the results was then processed to simulate the reflected energy passing through the receiver circuit of a radio echo system and then compared with a recorded trace. The processed result contained many of the larger reflections recorded below about 500 m, including nearly all the features from depths greater than 1500 m, in particular, several interstadial events in the Wisconsin age ice. Since high-frequency conductivity variations are dominated by chemical changes which are caused by deposition on the surface of the ice sheet, it is possible to conclude that the reflections deep inside the Greenland ice sheet can be treated as isochrons.</t>
  </si>
  <si>
    <t>St Olaf Coll, Dept Phys, Northfield, MN 55057 USA; Univ Lapland, Arctic Ctr, FIN-96101 Rovaniemi, Finland; British Antarctic Survey, Cambridge CB3 0ET, England; Univ Munster, Inst Geophys, Forschungsstelle Phys Glaziol, D-4400 Munster, Germany</t>
  </si>
  <si>
    <t>Saint Olaf College; University of Lapland; UK Research &amp; Innovation (UKRI); Natural Environment Research Council (NERC); NERC British Antarctic Survey; University of Munster</t>
  </si>
  <si>
    <t>Miners, WD (corresponding author), 23 Orchard Way, Didcot OX11 0LQ, Oxon, England.</t>
  </si>
  <si>
    <t>William.Miners@btinternet.com; e.wolff@bas.ac.uk; john.moore@urova.fi; jacobel@stolaf.edu; Ludwig.Hempel@t-online.de</t>
  </si>
  <si>
    <t>Moore, John C/B-2868-2013; Wolff, Eric W/D-7925-2014</t>
  </si>
  <si>
    <t>Moore, John C/0000-0001-8271-5787; Wolff, Eric W/0000-0002-5914-8531</t>
  </si>
  <si>
    <t>AUG 24</t>
  </si>
  <si>
    <t>B8</t>
  </si>
  <si>
    <t>10.1029/2001JB000535</t>
  </si>
  <si>
    <t>622GH</t>
  </si>
  <si>
    <t>WOS:000179638300001</t>
  </si>
  <si>
    <t>Field, IC; Bradshaw, CJA; McMahon, CR; Harrington, J; Burton, HR</t>
  </si>
  <si>
    <t>Effects of age, size and condition of elephant seals (Mirounga leonina) on their intravenous anaesthesia with tiletamine and zolazepam</t>
  </si>
  <si>
    <t>VETERINARY RECORD</t>
  </si>
  <si>
    <t>CHEMICAL RESTRAINT; SWIMMING SPEED; DIVE DURATION; GRAY SEALS; BODY-SIZE; SOUTHERN; IMMOBILIZATION; KETAMINE; DIAZEPAM; COMBINATIONS</t>
  </si>
  <si>
    <t>Southern elephant seals (Mirounga leonina) were caught as part of a long-term demographic study on Macquarie island. Over 18 months, 1033 seals were caught by hand and anaesthetised intravenously with a 1:1 mixture of tiletamine and zolazepam. Assessments were made of the effects of variations in the body condition and age at capture of the seals on the characteristics of their anaesthesia, including induction time and weighted recovery time. The size and condition of the seals were assessed by morphometric and ultrasound measurements. Weighted recovery times decreased as the body condition and age of the seals increased, but there were no residual effects of sex. There were no fatalities, and no periods of apnoea longer than five minutes were recorded. in individual seals there was a significant increase in weighted recovery time with successive captures.</t>
  </si>
  <si>
    <t>Australian Antarctic Div, Kingston, Tas 7050, Australia; Univ Tasmania, Sch Zool, Antarctic Wildlife Res Unit, Hobart, Tas 7001, Australia</t>
  </si>
  <si>
    <t>Field, IC (corresponding author), Australian Antarctic Div, Channel Highway, Kingston, Tas 7050, Australia.</t>
  </si>
  <si>
    <t>Bradshaw, Corey J. A./A-1311-2008; McMahon, Clive R/D-5713-2013; Field, Iain C/D-3934-2009</t>
  </si>
  <si>
    <t>Bradshaw, Corey J. A./0000-0002-5328-7741; McMahon, Clive R/0000-0001-5241-8917;</t>
  </si>
  <si>
    <t>BRITISH VETERINARY ASSOC</t>
  </si>
  <si>
    <t>7 MANSFIELD ST, LONDON W1M 0AT, ENGLAND</t>
  </si>
  <si>
    <t>0042-4900</t>
  </si>
  <si>
    <t>VET REC</t>
  </si>
  <si>
    <t>Vet. Rec.</t>
  </si>
  <si>
    <t>10.1136/vr.151.8.235</t>
  </si>
  <si>
    <t>588XV</t>
  </si>
  <si>
    <t>WOS:000177728300008</t>
  </si>
  <si>
    <t>Keller, RA; Fisk, MR; Smellie, JL; Strelin, JA; Lawver, LA</t>
  </si>
  <si>
    <t>Geochemistry of back arc basin volcanism in Bransfield Strait, Antarctica: Subducted contributions and along-axis variations</t>
  </si>
  <si>
    <t>back arc basin; Bransfield Strait; Antarctica; geochemistry; volcanism; recycling</t>
  </si>
  <si>
    <t>SOUTH SHETLAND ISLANDS; MARIANA TROUGH; SPREADING CENTER; TRACE-ELEMENT; SCOTIA SEA; DECEPTION ISLAND; WEST ANTARCTICA; ALKALIC BASALTS; MARGINAL BASINS; SUMISU RIFT</t>
  </si>
  <si>
    <t>[1] Bransfield Strait is a Quaternary, ensialic back arc basin at the transition from rifting to spreading. Fresh volcanic rocks occur on numerous submarine features distributed along the rift axis, including a discontinuous neovolcanic ridge similar to the nascent spreading centers seen in some other back arc basins. Smaller edifices near the northeast end of the rift yielded basalts with the most arc-like compositions (e.g., high large-ion lithophile element/high field strength element and Sr-87/Sr-86). The most mid-ocean ridge basalt (MORB)-like basalts are from a large, caldera-topped seamount and a 30-km-long axial neovolcanic ridge toward the southwest end of the rift, but these two features also yielded andesite and rhyolite, respectively. The volcanic and geochemical variations are not systematic along axis and do not reflect the unidirectional propagation of rifting suggested by geophysical data. The most depleted basalts have major and trace element characteristics indistinguishable from MORB except for slightly higher Cs and Pb concentrations. Pb isotopic ratios show little variation compared to Sr and Nd isotopic ratios and do not extend to the depleted Pb isotopic ratios found in other back arc basins. Either the depleted mantle beneath Bransfield Strait has higher than normal Pb isotopic ratios or the subducted component beneath Bransfield Strait has such high Pb concentrations that it dominates the Pb isotopic composition of the Bransfield Strait mantle without significantly affecting the Sr and Nd isotopic compositions. Metalliferous sediments and fluids extracted from a subducting slab may have the necessary high concentrations of Pb.</t>
  </si>
  <si>
    <t>Oregon State Univ, Coll Ocean &amp; Atmospher Sci, Corvallis, OR 97331 USA; British Antarctic Survey, Cambridge CB3 0ET, England; Inst Antartico Argentina, Buenos Aires, DF, Argentina; Univ Texas, Inst Geophys, Austin, TX 78759 USA</t>
  </si>
  <si>
    <t>Oregon State University; UK Research &amp; Innovation (UKRI); Natural Environment Research Council (NERC); NERC British Antarctic Survey; Instituto Antartico Argentino; University of Texas System; University of Texas Austin</t>
  </si>
  <si>
    <t>Oregon State Univ, Coll Ocean &amp; Atmospher Sci, 104 Ocean Adm Bldg, Corvallis, OR 97331 USA.</t>
  </si>
  <si>
    <t>rkeller@coas.oregonstate.edu; mfisk@coas.oregonstate.edu; jlsm@bas.ac.uk; jstrelin@satlink.com; lawver@ig.utexas.edu</t>
  </si>
  <si>
    <t>Lawver, Lawrence/A-1630-2009</t>
  </si>
  <si>
    <t>AUG 23</t>
  </si>
  <si>
    <t>10.1029/2001JB000444</t>
  </si>
  <si>
    <t>622GG</t>
  </si>
  <si>
    <t>WOS:000179638200004</t>
  </si>
  <si>
    <t>Ikeda-Fukazawa, T; Horikawa, S; Hondoh, T; Kawamura, K</t>
  </si>
  <si>
    <t>Molecular dynamics studies of molecular diffusion in ice Ih</t>
  </si>
  <si>
    <t>JOURNAL OF CHEMICAL PHYSICS</t>
  </si>
  <si>
    <t>INELASTIC NEUTRON-SCATTERING; HYDRATE SINGLE-CRYSTAL; CLATHRATE HYDRATE; THERMODYNAMIC STABILITY; SELF-INTERSTITIALS; ANTARCTIC ICE; SIMULATIONS; SPECTRA; LATTICE; H2O</t>
  </si>
  <si>
    <t>We performed molecular dynamics simulations of the diffusion of interstitial He and H2O in ice Ih and found diffusion hops for these interstitial molecules from a stable site to an adjacent site. By observing the jumps of these diffusing species, we determined the jump frequencies, the crystal orientation dependence of the diffusion coefficients, and the diffusion activation energies. Most jumps are along the c axis, because the energy barrier for diffusion along the c axis is lower than that in the a-b plane. Furthermore, the diffusion mechanism for He significantly differ from that for H2O; interstitial H2O diffused by distorting the ice lattice, whereas He atom migrated by jumping from a stable interstitial site to an adjacent site without distorting the lattice. The transverse optic mode for translational lattice vibrations of the lattice surrounding the interstitial H2O shifts to high energy in comparison with that of the pure ice Ih. This upward shift is attributed to a strong coupling between localized translational vibrations of the interstitial H2O and lattice vibrations. The ice lattice is distorted by the translational vibration of the interstitial H2O, since the vibration energy of the mode is close to the energy region of the lattice vibrations of the ice Ih. We conclude that the localized vibrational motion of interstitial molecule is one of the dominant factors governing the diffusion mechanism of the molecule in the ice crystal. (C) 2002 American Institute of Physics.</t>
  </si>
  <si>
    <t>Hokkaido Univ, Inst Low Temp Sci, Sapporo, Hokkaido 0600819, Japan; Tokyo Inst Technol, Fac Sci, Dept Earth &amp; Planetary Sci, Meguro Ku, Tokyo 1528551, Japan</t>
  </si>
  <si>
    <t>Hokkaido University; Tokyo Institute of Technology</t>
  </si>
  <si>
    <t>Ikeda-Fukazawa, T (corresponding author), JST, PRESTO, Kawaguchi, Japan.</t>
  </si>
  <si>
    <t>; HONDOH, Takeo/E-7551-2011</t>
  </si>
  <si>
    <t>Ikeda-Fukazawa, Tomoko/0000-0002-5265-4706; HONDOH, Takeo/0000-0003-4129-022X</t>
  </si>
  <si>
    <t>0021-9606</t>
  </si>
  <si>
    <t>J CHEM PHYS</t>
  </si>
  <si>
    <t>J. Chem. Phys.</t>
  </si>
  <si>
    <t>AUG 22</t>
  </si>
  <si>
    <t>10.1063/1.1495844</t>
  </si>
  <si>
    <t>582KZ</t>
  </si>
  <si>
    <t>WOS:000177351100040</t>
  </si>
  <si>
    <t>Johnston, D; Lourey, M; Van Tien, D; Luu, TT; Xuan, TT</t>
  </si>
  <si>
    <t>Water quality and plankton densities in mixed shrimp-mangrove forestry farming systems in Vietnam</t>
  </si>
  <si>
    <t>AQUACULTURE RESEARCH</t>
  </si>
  <si>
    <t>shrimp; water quality; Vietnam; integrated farming; mangroves; extensive shrimp culture; shrimp aquaculture</t>
  </si>
  <si>
    <t>MEKONG DELTA; ZOOPLANKTON; DYNAMICS; PONDS</t>
  </si>
  <si>
    <t>Water quality and plankton densities were monitored in shrimp ponds at 12 mixed shrimp-mangrove forestry farms in Ca Mau province, southern Vietnam, to detail basic water chemistry and assess whether conditions are suitable for shrimp culture. In general, water quality was not optimal for shrimp culture. In particular, ponds were shallow (mean +/- 1SE, 50.5 +/- 2.8 cm), acidic (pH &lt; 6.5), had high suspended solids (0.3 +/- 0.03 g l(-1) ), low chlorophyll a/ phytoplankton concentrations (0.2 +/- 0.05 mug l(-1) and 8600 +/- 800 cells l(-1) respectively) and low dissolved oxygen (DO) levels (3.7 +/- 0.15 mg l(-1) ). Eight out of the 12 farms sampled had potentially acid sulphate soils (pH &lt; 4.2). Salinity, DO and pH were highly variable over short time-periods (hours); DO in particular was reduced to potentially lethal levels (1-2 mg l(-1) ). Seasonal variations in water chemistry and plankton communities (i.e. salinity, DO, phosphate, temperature, phytoplankton and zooplankton densities) appear to be driven by differences in rainfall patterns. The presence or absence of mangroves on internal pond levees ('mixed' versus 'separate' farms) and the source of pond water (rivers versus canals) were of lesser importance in determining water quality patterns and plankton biomass. Zooplankton and macrobenthos densities were sufficient to support the current (low) stocking densities of shrimp. However, natural food sources are not adequate to support increases in production by stocking hatchery reared post larvae. Increasing productivity by fertilization and/or supplemental feeding has the potential for adverse water quality and would require improvements to water management practices. Some practical strategies for improving water quality and plankton densities are outlined.</t>
  </si>
  <si>
    <t>Univ Tasmania, Tasmanian Aquaculture &amp; Fisheries Inst, Sch Aquaculture, Launceston, Tas 7250, Australia; Univ Tasmania, Inst Antarctic &amp; So Ocean Studies, Hobart, Tas 7001, Australia; Res Inst Aquaculture 2, Ho Chi Minh City, Vietnam</t>
  </si>
  <si>
    <t>Univ Tasmania, Tasmanian Aquaculture &amp; Fisheries Inst, Sch Aquaculture, Locked Bag 1-370, Launceston, Tas 7250, Australia.</t>
  </si>
  <si>
    <t>danielle.johnston@utas.edu.au</t>
  </si>
  <si>
    <t>1355-557X</t>
  </si>
  <si>
    <t>1365-2109</t>
  </si>
  <si>
    <t>AQUAC RES</t>
  </si>
  <si>
    <t>Aquac. Res.</t>
  </si>
  <si>
    <t>AUG 21</t>
  </si>
  <si>
    <t>10.1046/j.1365-2109.2002.00722.x</t>
  </si>
  <si>
    <t>579UJ</t>
  </si>
  <si>
    <t>WOS:000177196000006</t>
  </si>
  <si>
    <t>Yagova, NV; Lanzerotti, LJ; Villante, U; Pilipenko, VA; Lepidi, S; Francia, P; Papitashvili, VO; Rodger, AS</t>
  </si>
  <si>
    <t>ULF Pc5-6 magnetic activity in the polar cap as observed along a geomagnetic meridian in Antarctica</t>
  </si>
  <si>
    <t>geomagnetic pulsations; polar cap; MHD; magnetotail</t>
  </si>
  <si>
    <t>MAGNETOTAIL WAVE-GUIDE; PLASMA SHEET; EARTHS MAGNETOTAIL; FREQUENCY WAVES; PULSATIONS; LATITUDES; FLOWS; LOBES; CUSP</t>
  </si>
  <si>
    <t>[1] Latitudinal and diurnal distributions of spectral power and spatial coherency parameters of the geomagnetic variations in the Pc5-6 (1-6 mHz) frequency range are analyzed using data of magnetometer stations in Antarctica. The available stations give the possibility to form a latitude chain along the geomagnetic meridian 40degreesE stretching from magnetic latitude 69degreesS to 86degreesS. Long-period ULF activity at polar cap latitudes is characterized by lower amplitudes and wider spectra with lower central frequencies as compared with typical auroral Pc5 pulsations. The meridional distribution of average Pc5-6 spectral power is nonmonotonic and has a minimum near 80degrees. In general, the low-frequency broadband ULF activities in the polar cap and at auroral latitudes seem to be decoupled. This long-period ULF activity in the polar cap could be an image of wave activity in the tail lobes or the manifestation of turbulent component of the ionospheric convection at very high latitudes, but this requires further investigation.</t>
  </si>
  <si>
    <t>Inst Phys Earth, Moscow 123995, Russia; Bell Labs, Lucent Technol, Murray Hill, NJ 07974 USA; Univ Aquila, I-67010 Coppito, Italy; Ist Nazl Geofis, I-00161 Rome, Italy; Univ Michigan, Ann Arbor, MI 48109 USA; British Antarctic Survey, Cambridge CB3 0ET, England</t>
  </si>
  <si>
    <t>Russian Academy of Sciences; Schmidt Institute of Physics of the Earth of the Russian Academy of Sciences; Alcatel-Lucent; Lucent Technologies; AT&amp;T; University of L'Aquila; Istituto Nazionale Geofisica e Vulcanologia (INGV); University of Michigan System; University of Michigan; UK Research &amp; Innovation (UKRI); Natural Environment Research Council (NERC); NERC British Antarctic Survey</t>
  </si>
  <si>
    <t>Inst Phys Earth, Moscow 123995, Russia.</t>
  </si>
  <si>
    <t>nyagova@uipe-ras.scgis.ru; ljl@bell-labs.com; umberto.villante@aquila.infn.it; vpilipenko@uipe-ras.scgis.ru; lepidi@ingv.it; patrizia.francia@aquila.infn.it; papita@umich.edu; a.rodger@bas.ac.uk</t>
  </si>
  <si>
    <t>Yagova, Nadezda/AAZ-5025-2020; Yagova, Nadezda/AAF-8102-2019</t>
  </si>
  <si>
    <t>Yagova, Nadezda/0000-0003-0678-8743; Villante, Umberto/0000-0002-3630-7958; Papitashvili, Vladimir/0000-0001-6955-4894</t>
  </si>
  <si>
    <t>A8</t>
  </si>
  <si>
    <t>10.1029/2001JA900143</t>
  </si>
  <si>
    <t>622EW</t>
  </si>
  <si>
    <t>WOS:000179634400002</t>
  </si>
  <si>
    <t>Wendt, AS; Vidal, O; Chadderton, LT</t>
  </si>
  <si>
    <t>Experimental evidence for the pressure dependence of fission track annealing in apatite</t>
  </si>
  <si>
    <t>fission tracks; apatite; annealing; temperature; pressure; stress; geochronology</t>
  </si>
  <si>
    <t>SELF-DIFFUSION; KINETICS; FLUORAPATITE; VARIABILITY; MECHANISMS</t>
  </si>
  <si>
    <t>Fission track analysis has seen a major expansion in application to general geological problems reflecting its advances in understanding the temperature dependence of track annealing and track length distributions. However, considerable uncertainties still persist, in particular concerning the stability of fission tracks subjected to the interaction of environmental physical parameters (e.g. pressure, temperature, stress) and in extrapolation of laboratory data to geological time scales. In this work, we studied the fading behavior of spontaneous fission tracks in basic apatite [hexagonal Ca-5(PO4)(3)(OH, F, Cl)] when exposed simultaneously to laboratory pressures, temperatures and stress over varying time spans. The experiments showed that track fading is a complex recovery mechanism, which is extremely sensitive to the coupling of these three parameters. In particular, a strong decrease in the fission track fading rate was observed as a function of increasing pressure. And a nearly temperature-independent dramatic increase in fission track recovery was observed as a function of stress. Consequently, (1) the stability field of fission tracks in apatite increases towards temperatures higher than 110degreesC depending on the absolute pressure; (2) closure ages in apatite are underestimated (&gt; 100% for an ideal geothermobarometric gradient); (3) related exhumation and erosion rates are overestimated above the closure temperature and underestimated below the closure temperature; and (4) since the widely applied statistical description of thermally induced fading kinetics does not account for the influences of either pressure or stress and is based on fission track annealing data produced at ambient pressure, the accuracy in extrapolating fission track data to geological time scales and in their application to dynamical systems must be cast into doubt. (C) 2002 Elsevier Science B.V. All rights reserved.</t>
  </si>
  <si>
    <t>Max Planck Inst Kernphys, Heidelberger Akad Wissensch, Abt Archaometrie, D-69117 Heidelberg, Germany; Univ Montpellier 2, Lab Geophys Tecton &amp; Sedimentol, ISTEEM, F-34095 Montpellier, France; Ecole Normale Super, Geol Lab, Dept Terre Atmosphere &amp; Oceans, F-75005 Paris, France; Australian Natl Univ, Atom &amp; Mol Phys Labs, Res Sch Phys Sci &amp; Engn, Inst Adv Studies, Canberra, ACT 0020, Australia</t>
  </si>
  <si>
    <t>Ruprecht Karls University Heidelberg; Max Planck Society; Universite de Montpellier; Universite PSL; Ecole Normale Superieure (ENS); Australian National University</t>
  </si>
  <si>
    <t>British Antarctic Survey, Geosci Div, Madingley Rd,High Cross, Cambridge CB3 0ET, England.</t>
  </si>
  <si>
    <t>aswe@bas.ac.uk; olivier.vidal@ujf-grenoble.fr; lewis.chadderton@anu.edu.au</t>
  </si>
  <si>
    <t>vidal, olivier/E-7285-2012</t>
  </si>
  <si>
    <t>AUG 15</t>
  </si>
  <si>
    <t>PII S0012-821X(02)00727-6</t>
  </si>
  <si>
    <t>10.1016/S0012-821X(02)00727-6</t>
  </si>
  <si>
    <t>590MF</t>
  </si>
  <si>
    <t>WOS:000177826100011</t>
  </si>
  <si>
    <t>Corsolini, S; Kannan, K; Imagawa, T; Focardi, S; Giesy, JP</t>
  </si>
  <si>
    <t>Polychloronaphthalenes and other dioxin-like compounds in Arctic and Antarctic marine food webs</t>
  </si>
  <si>
    <t>DIBENZO-P-DIOXINS; POLYCHLORINATED-BIPHENYLS PCBS; BAY ROSS SEA; PERSISTENT ORGANOCHLORINES; NAPHTHALENES; CONTAMINANTS; CONGENERS; POLLUTION; MICHIGAN; WATERS</t>
  </si>
  <si>
    <t>Here we report accumulation patterns of polychlorinated naphthalenes (PCNs), polychlorinated dibenzo-p-dioxins (PCDDs), polychlorinated dibenzofurans (PCDFs), polychlorinated biphenyls (PCBs), and pesticides (HCB, p,p'DDE) in polar organisms (polar bear from Alaskan Arctic and krill, sharp-spined notothen, crocodile icefish, Antarctic silverfish, Adelie penguin, South polar skua, and Weddell seal from the Ross Sea, Antarctica). PCNs, found in most of the samples, ranged from 1.5 pg/g in krill to 2550 pg/g in South polar skua on a wet weight basis. Lower chlorinated PCNs were the predominant congeners in organisms except skua and polar bear that showed similar PCN homologue patterns. PCDD/F concentrations were &lt;90 pg/g wet wt in polar organisms; PCDD congeners showed peculiar accumulation patterns in different organisms. Correlation existed between PCN and PCB concentrations. PCB, HCB, and p,p'DDE levels were the highest in skua liver (11150 ng/g wet wt, 345 ng/g wet wt, and 300 ng/g wet wt, respectively). Contribution of PCNs to 2,3,7,8-tetrachlrodibenzo-p-dioxin equivalents (TEQ) was negligible (&lt;0.1%) because of the lack of most toxic congeners. The highest TEQ was found in South polar skua liver (45 pg/g, wet weight). This is the first study to document the occurrence of PCNs in Antarctic organisms. High levels of dioxin-like chemicals in skua suggest the importance of intake via diet and migration habits, thus POP detection can be useful to trace migration behavior. Moreover, POP concentrations in penguin and skua eggs prove their transfer from the mother to eggs.</t>
  </si>
  <si>
    <t>Univ Siena, Dipartimento Sci Ambientali, I-53100 Siena, Italy; Michigan State Univ, Natl Food Safety &amp; Toxicol Ctr, E Lansing, MI 48824 USA; Natl Inst Resources &amp; Environm, Tsukuba, Ibaraki 3058569, Japan</t>
  </si>
  <si>
    <t>University of Siena; Michigan State University; National Institute of Advanced Industrial Science &amp; Technology (AIST)</t>
  </si>
  <si>
    <t>Corsolini, S (corresponding author), Univ Siena, Dipartimento Sci Ambientali, Via Laterina 8, I-53100 Siena, Italy.</t>
  </si>
  <si>
    <t>Corsolini, Simonetta/B-9460-2012</t>
  </si>
  <si>
    <t>Corsolini, Simonetta/0000-0002-9772-2362; Giesy, John/0000-0003-1931-9962</t>
  </si>
  <si>
    <t>10.1021/es025511v</t>
  </si>
  <si>
    <t>584CA</t>
  </si>
  <si>
    <t>WOS:000177448600005</t>
  </si>
  <si>
    <t>Clilverd, MA; Nunn, D; Lev-Tov, SJ; Inan, US; Dowden, RL; Rodger, CJ; Smith, AJ</t>
  </si>
  <si>
    <t>Determining the size of lightning-induced electron precipitation patches</t>
  </si>
  <si>
    <t>lightning; precipitation; Antarctica; Trimpi; whistler</t>
  </si>
  <si>
    <t>AMPLITUDE PERTURBATIONS; INDUCED IONIZATION; FINITE-ELEMENT; VLF; PHASE; SIGNAL; ENHANCEMENTS; RELAXATION; WHISTLERS; DUNEDIN</t>
  </si>
  <si>
    <t>[1] We analyze Trimpi signatures during 23 and 24 April 1994 at four sites on or near the Antarctic Peninsula (Palmer, Faraday, Rothera, and Halley) on subionospheric VLF signals received from four U. S. naval transmitters (NAA, NSS, NLK, and NPM). Electron precipitation patches are found to be large, i.e., similar to1500 km x 600 km, with the longer axis orientated east-west. Calculations using a three-dimensional Born scattering model, where patch densities are 1.5 electrons cm(-3) above ambient at the center at similar to84 km altitude, provides results that are consistent with this picture. A high proportion (38%) of the Trimpi events were associated with strong lightning flashes in eastern United States. When lightning discharges had currents &gt;65 kA (positive or negative), there was a &gt;80% chance of seeing an associated Trimpi event. The chance of seeing any Trimpi events fell to near zero for discharges of &lt;45 kA. The largest Trimpi perturbations occur when the center of the precipitation patch is 700-800 km from the receivers. This result is consistent with the modeling calculations for large patches. The equatorward edge of the precipitation patch was estimated to be at similar to 60 degrees S, close to the magnetic conjugate of the lightning. The close association of the equatorward edge of the precipitation patch with the conjugate location of the causative lightning is consistent with a quasi-ducted whistler-induced precipitation mechanism. Nonducted whistler-induced precipitation mechanisms would predict a 5 degrees-10 degrees latitudinal gap between the lightning and the equatorward edge of the patch. However, the lack of observed whistlers at the time of the Trimpi events is consistent with the nonducted whistler mechanism and is not consistent with the quasi-ducted mechanism, although the distances from duct exit point to receiver may have been too large (similar to 700-1000 km) for the signals to be detectable. Using the significantly larger patch dimensions determined in this study, it is estimated that lightning may well be 10-100 times more effective at depleting the radiation belts than hiss.</t>
  </si>
  <si>
    <t>British Antarctic Survey, Div Phys Sci, Cambridge CB3 0ET, England; Univ Southampton, Dept Elect &amp; Comp Sci, Southampton SO17 1BJ, Hants, England; Stanford Univ, STAR Lab, Stanford, CA 94303 USA; Low Frequency Electromagnet Res Ltd, Dunedin, New Zealand</t>
  </si>
  <si>
    <t>UK Research &amp; Innovation (UKRI); Natural Environment Research Council (NERC); NERC British Antarctic Survey; University of Southampton; Stanford University</t>
  </si>
  <si>
    <t>m.clilverd@bas.ac.uk; dn@ecs.soton.ac.uk; sjlt@stanford.edu; dowden@physicist.net; crodger@physics.otago.ac.nz; a.j.smith@bas.ac.uk</t>
  </si>
  <si>
    <t>10.1029/2001JA000301</t>
  </si>
  <si>
    <t>611HB</t>
  </si>
  <si>
    <t>WOS:000179009600023</t>
  </si>
  <si>
    <t>Lu, G; Holzer, TE; Lummerzheim, D; Ruohoniemi, JM; Stauning, P; Troshichev, O; Newell, PT; Brittnacher, M; Parks, G</t>
  </si>
  <si>
    <t>Ionospheric response to the interplanetary magnetic field southward turning: Fast onset and slow reconfiguration</t>
  </si>
  <si>
    <t>ionospheric response; IMF southward turning; plasma convection; solar wind-magnetosphere-ionosphere coupling; interplanetary magnetic field changes; high-latitude changes</t>
  </si>
  <si>
    <t>HIGH-LATITUDE IONOSPHERE; HIGH TIME RESOLUTION; CONVECTION RESPONSE; ELECTRODYNAMICS TECHNIQUE; PLASMA CONVECTION; POLAR; IMF; MAGNETOSPHERE; EXCITATION; COMPONENT</t>
  </si>
  <si>
    <t>[1] This paper presents a case study of ionospheric response to an interplanetary magnetic field (IMF) southward turning. It is based on a comprehensive set of observations, including a global network of ground magnetometers, global auroral images, and a SuperDARN HF radar. There is a clear evidence for a two-stage ionospheric response to the IMF southward turning, namely, fast initial onset and slow final reconfiguration. The fast onset is manifested by nearly simultaneous (within 2 min) rise of ground magnetic perturbations at all local times, corroborated by a sudden change in the direction of line-of-sight velocity near local midnight and by the simultaneous equatorward shift of the auroral oval. The slow reconfiguration is characterized by the different rising rate of magnetic perturbations with latitudes: faster at high latitude than at lower latitudes. Furthermore, a cross-correlation analysis of the magnetometer data shows that the maximum magnetic perturbation is reached first near local noon, and then spread toward the nightside, corresponding to a dayside-to-nightside propagation speed of similar to5 km/s along the auroral oval. Global ionospheric convection patterns are derived based on ground magnetometer data along with auroral conductances inferred from the Polar UV images, using the assimilative mapping of ionospheric electrodynamics (AMIE) procedure. The AMIE patterns, especially the residual convection patterns, clearly show a globally coherent development of two-cell convection configuration following the IMF southward turning. While the foci of the convection patterns remain nearly steady, the convection flow does intensify with time and the cross-polar-cap potential drop increases. The overall changes as shown in the AMIE convection patterns therefore are fully consistent with the two-stage ionospheric response to the IMF southward turning.</t>
  </si>
  <si>
    <t>Natl Ctr Atmospher Res, High Altitude Observ, Boulder, CO 80307 USA; Univ Alaska, Inst Geophys, Fairbanks, AK 99775 USA; Johns Hopkins Univ, Appl Phys Lab, Laurel, MD 20723 USA; Danish Meteorol Inst, Copenhagen, Denmark; Arctic &amp; Antarctic Res Inst, St Petersburg 199226, Russia; Univ Washington, Dept Earth &amp; Space Sci, Seattle, WA 98195 USA; Univ Calif Berkeley, Space Sci Lab, Berkeley, CA 94720 USA</t>
  </si>
  <si>
    <t>National Center Atmospheric Research (NCAR) - USA; University of Alaska System; University of Alaska Fairbanks; Johns Hopkins University; Johns Hopkins University Applied Physics Laboratory; Danish Meteorological Institute DMI; Arctic &amp; Antarctic Research Institute; University of Washington; University of Washington Seattle; University of California System; University of California Berkeley</t>
  </si>
  <si>
    <t>Natl Ctr Atmospher Res, High Altitude Observ, POB 3000, Boulder, CO 80307 USA.</t>
  </si>
  <si>
    <t>ganglu@ncar.ucar.edu</t>
  </si>
  <si>
    <t>Lu, Gang/A-6669-2011</t>
  </si>
  <si>
    <t>10.1029/2001JA000324</t>
  </si>
  <si>
    <t>WOS:000179009600038</t>
  </si>
  <si>
    <t>Kennedy, EM; Spicer, RA; Rees, PM</t>
  </si>
  <si>
    <t>Quantitative palaeoclimate estimates from late cretaceous and paleocene leaf floras in the northwest of the South Island, New Zealand</t>
  </si>
  <si>
    <t>palaeoclimate; New Zealand; Late Cretaceous; leaf physiognomy; Paleocene</t>
  </si>
  <si>
    <t>LEAVES; ANGIOSPERMS; ANTARCTICA; REVISION; CLIMATE</t>
  </si>
  <si>
    <t>Three new plant macrofossil assemblages were collected from Late Cretaceous and Paleocene fluvio-lacustrine sediments of the Pakawau and Kapuni groups in the northwest of the South Island, New Zealand. Palaeoenvironmental interpretations were made from each locality and palaeoclimate was deduced from the dicotyledonous angiosperm leaf component of each flora. A latest Cretaceous (Pakawau Bush Road locality) flora yielded 58 different dicotyledonous leaf forms; the two Paleocene collections, Ian's Tip and Pillar Point Track, included 23 and 28 dicotyledonous leaf forms respectively. Quantitative palaeoclimate estimates were obtained using both Leaf Margin Analysis (LMA) and the Climate Leaf Analysis Multivariate Program (CLAMP). Temperature estimates suggest that there was a slight cooling from the latest Cretaceous into the early Paleocene in the northwest Nelson region of New Zealand, supporting similar Southern Hemisphere palaeoclimate findings from Antarctic data. Consistency in temperature estimates using different methods, including LMA, multivariate leaf morphological analysis (CLAMP), oxygen isotope data, regional versus local studies and global palaeoclimate models, suggests that the mean annual temperature for the Pakawau region in the latest Cretaceous was between 12 and 15degreesC. LMA produced temperature estimates between 6.5 and 8degreesC for the two Paleocene assemblages whereas CLAMP-produced estimates were slightly higher between 9 and 12.5degreesC (C) 2002 Elsevier Science B.V. All rights reserved.</t>
  </si>
  <si>
    <t>Inst Geol &amp; Nucl Sci Ltd, Lower Hutt, New Zealand; Open Univ, Dept Earth Sci, Milton Keynes MK7 6AA, Bucks, England; Univ Chicago, Dept Geophys Sci, Chicago, IL 60637 USA</t>
  </si>
  <si>
    <t>GNS Science - New Zealand; Open University - UK; University of Chicago</t>
  </si>
  <si>
    <t>Kennedy, EM (corresponding author), Inst Geol &amp; Nucl Sci Ltd, POB 30-368, Lower Hutt, New Zealand.</t>
  </si>
  <si>
    <t>e.kennedy@gns.cri.nz; r.a.spicer@open.ac.uk; rees@geosci.uchicago.edu</t>
  </si>
  <si>
    <t>Kennedy, Elizabeth/0000-0002-1989-779X</t>
  </si>
  <si>
    <t>PII S0031-0182(02)00261-4</t>
  </si>
  <si>
    <t>10.1016/S0031-0182(02)00261-4</t>
  </si>
  <si>
    <t>587JF</t>
  </si>
  <si>
    <t>WOS:000177636200006</t>
  </si>
  <si>
    <t>Smith, AM; Murray, T; Davison, BM; Clough, AF; Woodward, J; Jiskoot, H</t>
  </si>
  <si>
    <t>Late surge glacial conditions on Bakaninbreen, Svalbard, and implications for surge termination</t>
  </si>
  <si>
    <t>seismic; GPR; glacier; surge; permafrost; Arctic</t>
  </si>
  <si>
    <t>BASAL CONDITIONS BENEATH; RUTFORD ICE STREAM; MARINE-SEDIMENTS; SEISMIC VELOCITIES; THERMAL EVOLUTION; DEBRIS; MECHANISM; DEFORMATION; REFLECTION; DYNAMICS</t>
  </si>
  <si>
    <t>[1] Bakaninbreen is a polythermal glacier in southern Spitsbergen, Svalbard, that last surged between 1985 and 1995. Seismic reflection data were acquired during early quiescence in spring 1998, just upstream of the surge front. The results were combined with complementary ground-penetrating radar data to investigate the glacial structure and basal conditions. We find no difference between the ice thickness values determined from the seismic and radar methods, suggesting that any layer of basal ice cannot be greater than 5 m thick. Interpretation of the amplitude of the seismic reflections indicates the presence of permafrost close to the glacier base. A thin layer of thawed deforming sediment separates the glacier from this underlying permafrost. In an area just upstream of the surge front the permafrost becomes discontinuous and may even be absent, the ice being underlain by 10-15 m of thawed sediments overlying deeper bedrock. High-pressure water is believed to have been required to maintain the propagation of the surge, and this area of thawed sediment is interpreted as a route for that water to escape from the basal system. When the surge front passed over this thawed bed, the escaping water reduced the pressure in the subglacial hydraulic system, initiating the termination of the surge. Surge termination was therefore primarily controlled by the presurge permafrost distribution beneath the glacier, rather than any feature of the surge itself. This termination mechanism is probably limited to surges in polythermal glaciers, but the techniques used may have wider glaciological applications.</t>
  </si>
  <si>
    <t>British Antarctic Survey, NERC, Div Phys Sci, Cambridge CB3 0ET, England; Univ Leeds, Sch Earth Sci, Leeds LS2 9JT, W Yorkshire, England; Univ Leeds, Sch Geog, Leeds LS2 9JT, W Yorkshire, England; Univ Lancaster, Inst Environm &amp; Biol Sci, Lancaster LA1 4YQ, England</t>
  </si>
  <si>
    <t>UK Research &amp; Innovation (UKRI); Natural Environment Research Council (NERC); NERC British Antarctic Survey; University of Leeds; University of Leeds; Lancaster University</t>
  </si>
  <si>
    <t>British Antarctic Survey, NERC, Div Phys Sci, High Cross,Madingley Rd, Cambridge CB3 0ET, England.</t>
  </si>
  <si>
    <t>smsm@bas.ac.uk; tavi@geog.leeds.ac.uk; davisonb@exchange.lancs.ac.uk; John.Woodward@brunel.ac.uk; jiskoot@ucalgary.ca</t>
  </si>
  <si>
    <t>Woodward, John/I-1046-2013</t>
  </si>
  <si>
    <t>Woodward, John/0000-0002-4980-4080; Murray, Tavi/0000-0001-6714-6512</t>
  </si>
  <si>
    <t>AUG 14</t>
  </si>
  <si>
    <t>10.1029/2001JB000475</t>
  </si>
  <si>
    <t>610ZY</t>
  </si>
  <si>
    <t>WOS:000178993000009</t>
  </si>
  <si>
    <t>Tarasick, DW; Bottenheim, JW</t>
  </si>
  <si>
    <t>Surface ozone depletion episodes in the Arctic and Antarctic from historical ozonesonde records</t>
  </si>
  <si>
    <t>ATMOSPHERIC CHEMISTRY AND PHYSICS</t>
  </si>
  <si>
    <t>TROPOSPHERIC OZONE; BOUNDARY-LAYER; POLAR SUNRISE; SEA-ICE; CHEMISTRY; BROMINE; DESTRUCTION; SPRINGTIME; MERCURY; REGIONS</t>
  </si>
  <si>
    <t>Episodes of ozone depletion in the lowermost Arctic atmosphere (0-2 km) at polar sunrise have been intensively studied at Alert, Canada, and are thought to result from catalytic reactions involving bromine. Recent observations of high concentrations of tropospheric BrO over large areas of the Arctic and Antarctic suggest that such depletion events should also be seen by ozonesondes at other polar stations. An examination of historical ozonesonde records shows that such events occur frequently at Alert, Eureka and Resolute, but much less frequently at Churchill and at other stations. The differences appear to be related to differences in average springtime surface temperatures. The long record at Resolute shows depletions since 1966, but with an increase in their frequency over the period 1966-2000 of 0.66 +/- 0.59% per year (95% confidence limits), explaining the apparent increase of Hg in Arctic biota in recent times.</t>
  </si>
  <si>
    <t>Environm Canada, Downsview, ON M3H 5T4, Canada</t>
  </si>
  <si>
    <t>Environment &amp; Climate Change Canada</t>
  </si>
  <si>
    <t>Environm Canada, 4905 Dufferin St, Downsview, ON M3H 5T4, Canada.</t>
  </si>
  <si>
    <t>david.tarasick@ec.gc.ca</t>
  </si>
  <si>
    <t>Tarasick, David Walter/IYS-7006-2023</t>
  </si>
  <si>
    <t>Tarasick, David Walter/0000-0001-9869-0692</t>
  </si>
  <si>
    <t>1680-7316</t>
  </si>
  <si>
    <t>1680-7324</t>
  </si>
  <si>
    <t>ATMOS CHEM PHYS</t>
  </si>
  <si>
    <t>Atmos. Chem. Phys.</t>
  </si>
  <si>
    <t>AUG 8</t>
  </si>
  <si>
    <t>10.5194/acp-2-197-2002</t>
  </si>
  <si>
    <t>591KP</t>
  </si>
  <si>
    <t>WOS:000177879200001</t>
  </si>
  <si>
    <t>di Prisco, G; Cocca, E; Parker, SK; Detrich, HW</t>
  </si>
  <si>
    <t>Tracking the evolutionary loss of hemoglobin expression by the white-blooded Antarctic icefishes</t>
  </si>
  <si>
    <t>3rd Anton Dohrn Workshop</t>
  </si>
  <si>
    <t>JUN 01-02, 2001</t>
  </si>
  <si>
    <t>globin gene organization; gene deletion; mutational clock; cold adaptation</t>
  </si>
  <si>
    <t>FISH NOTOTHENIA-CORIICEPS; ADULT ALPHA-GLOBIN; NUCLEOTIDE-SEQUENCE; GENE; PSEUDOGENE; REMNANTS</t>
  </si>
  <si>
    <t>The blood of Antarctic icefishes (family Channichthyidae, suborder Notothenioidei) is completely devoid of hemoglobin. Icefishes have developed compensatory adaptations that reduce oxygen demand and enhance oxygen transport. Oxygen delivery to tissues occurs by carrying the gas physically dissolved in the plasma. To evaluate the evolutionary pathway leading to the icefish hemoglobinless phenotype, the adult and embryonic/juvenile gene complexes from a closely related, red-blooded notothenioid species were isolated and characterized. The hybridization pattern of notothenioid adult globin cDNAs showed that the genomes of three icefish species retain transcriptionally inactive alpha1-globin-related DNA sequences, which are identical truncated variants of the alpha1-globin gene of the red-blooded fish, containing part of intron 2, all of exon 3, and the 3'-untranslated region. The icefish genomes have no beta-globin genes. Furthermore, Southern blots of genomic DNA from red- and white-blooded (two species) notothenioids, probed with fragments of the genes flanking the ends of the embryonic/juvenile complex, indicated that icefishes have also lost embryonic/juvenile globin genes. It is proposed that inability to express hemoglobin arose from a single, large-scale deletional event, which removed all icefish globin genes with the exception of the 3' end of alpha1. (C) 2002 Published by Elsevier Science B.V.</t>
  </si>
  <si>
    <t>CNR, Inst Prot Biochem &amp; Enzymol, I-80125 Naples, Italy; Northeastern Univ, Dept Biol, Boston, MA 02115 USA</t>
  </si>
  <si>
    <t>Consiglio Nazionale delle Ricerche (CNR); Istituto di Biochimica delle Proteine (IBP-CNR); Northeastern University</t>
  </si>
  <si>
    <t>di Prisco, G (corresponding author), CNR, Inst Prot Biochem &amp; Enzymol, Via Marconi 12, I-80125 Naples, Italy.</t>
  </si>
  <si>
    <t>Cocca, Ennio/AAY-3817-2020</t>
  </si>
  <si>
    <t>Cocca, Ennio/0000-0003-2432-9663</t>
  </si>
  <si>
    <t>AUG 7</t>
  </si>
  <si>
    <t>PII S0378-1119(02)00691-1</t>
  </si>
  <si>
    <t>10.1016/S0378-1119(02)00691-1</t>
  </si>
  <si>
    <t>606XX</t>
  </si>
  <si>
    <t>WOS:000178762000005</t>
  </si>
  <si>
    <t>Capriglione, T; Odierna, G; Caputo, V; Canapa, A; Olmo, E</t>
  </si>
  <si>
    <t>Characterization of a Tc1-like transposon in the Antarctic ice-fish, Chionodraco hamatus</t>
  </si>
  <si>
    <t>Mariner/transposon c1 (Tc1); transposable elements; notothenioids; fluorescence in situ hybridization</t>
  </si>
  <si>
    <t>DROSOPHILA; DNA; EVOLUTION; ELEMENTS; GENOME; MEMBER; FAMILY</t>
  </si>
  <si>
    <t>We report the presence of Tc1 transposon-like sequences in the Antarctic ice-fish Chionodraco hamatus, belonging to the Notothenioidei. The complete DNA sequence of these transposon-like elements is reduced in length compared to other Tc1 transposons, but it appears to share significant structural similarities with them. It contains a degenerate open reading frame, whose inferred 264 amino acid sequence shares sequence similarity with the 'aspartic acid, aspartic acid (35) glutamic acid' family of transposases, particularly those from Caenorhabditis species (sp.) and Drosophila sp. Southern blot analysis and polymerase chain reaction amplification indicate that Tc1 transposonlike sequences are present in other notothenioid species, though their amount can vary in the different lineages. (C) 2002 Elsevier Science B.V. All rights reserved.</t>
  </si>
  <si>
    <t>Univ Naples Federico II, Dipartimento Biol Evolut &amp; Comparata, I-80134 Naples, Italy; Univ Ancona, Ist Biol &amp; Genet, Ancona, Italy</t>
  </si>
  <si>
    <t>University of Naples Federico II; Marche Polytechnic University</t>
  </si>
  <si>
    <t>Univ Naples Federico II, Dipartimento Biol Evolut &amp; Comparata, Via Mezzocannone 8, I-80134 Naples, Italy.</t>
  </si>
  <si>
    <t>caprigli@dgbm.unina.it</t>
  </si>
  <si>
    <t>PII S0378-1119(02)00729-1</t>
  </si>
  <si>
    <t>10.1016/S0378-1119(02)00729-1</t>
  </si>
  <si>
    <t>WOS:000178762000006</t>
  </si>
  <si>
    <t>Oreste, U; Coscia, MR</t>
  </si>
  <si>
    <t>Specific features of immunoglobulin VH genes of the Antarctic teleost Trematomus bernacchii</t>
  </si>
  <si>
    <t>somatic hypermutation; V/D/J recombination; cold adaptation; polar teleost</t>
  </si>
  <si>
    <t>VARIABLE-REGION DIVERSITY; SOMATIC HYPERMUTATION; HEAVY-CHAIN; SELECTION; MUTATION; HYPERMUTAGENESIS; NUCLEOTIDE; ALIGNMENT; EVOLUTION; KB</t>
  </si>
  <si>
    <t>The somatic recombination of different germline-encoded gene segments constitutes a principal source of antibody diversity. In order to investigate the diversity in recombined gene segments encoding the immunoglobulin heavy chain of the Antarctic teleost Trematomus bernacchii, a VH library was constructed by 5'-RACE (rapid amplification of cDNA ends) using RNA isolated from the spleen of an individual specimen. Analysis of cDNA sequences of 45 rearranged VH/D/H segments revealed specific features, such as: high number of repeats, up to 8 bp long, and palindromic sequences, especially in CDRs (complementary determining regions); occurrence of the RGYW consensus, known as mutational hot spot, higher than in other species. Sixty-four percent of single base substitutions was found within this motif. In addition, the usage of serine codons showed a clear bias for AGY in CDRs, particularly in CDR2, and for TCN in FRs (framework regions). In CDRs, the frequency of non-synonymous changes was higher than that of synonymous changes. Diversity generated by insertions/deletions occurred more often than in other species; inserted bases were often repeats of adjacent bases. In particular the CDR2 showed the highest length variability as compared to other species. Alignment of VH sequences indicated that also the gene conversion mechanism may contribute to generating diversity. These data indicate a CDR mutability higher than in other species and provide some insights into the hypermutational events that may also occur in teleosts. (C) 2002 Elsevier Science B.V. All rights reserved.</t>
  </si>
  <si>
    <t>CNR, Inst Prot Biochem, Via Marconi 12, I-80125 Naples, Italy.</t>
  </si>
  <si>
    <t>oreste@dafne.ibpe.na.cnr.it</t>
  </si>
  <si>
    <t>PII S0378-1119(02)00686-8</t>
  </si>
  <si>
    <t>10.1016/S0378-1119(02)00686-8</t>
  </si>
  <si>
    <t>WOS:000178762000007</t>
  </si>
  <si>
    <t>Riggio, M; Scudiero, R; Filosa, S; Parisi, E</t>
  </si>
  <si>
    <t>Oestrogen-induced expression of a novel liver-specific aspartic proteinase in Danio rerio (zebrafish)</t>
  </si>
  <si>
    <t>cathepsin D; evolution; gene expression; oestrogen regulation</t>
  </si>
  <si>
    <t>CATHEPSIN-D; MOLECULAR-CLONING; STABILITY; INDUCTION; ENZYME; CANCER</t>
  </si>
  <si>
    <t>Aspartic proteinases are a group of endoproteolytic proteinases active at acidic pH and characterized by the presence of two aspartyl residues in the active site. They include related paralogous proteins such as cathepsin D, cathepsin E and pepsin. Although extensively investigated in mammals, aspartic proteinases have been less studied in other vertebrates. In a previous work, we cloned and sequenced a DNA complementary to RNA encoding an enzyme present in zebrafish liver. The sequence resulted to be homologous to a novel form of aspartic proteinase firstly described by us in Antarctic fish. In zebrafish, the gene encoding this enzyme is expressed only in the female liver, in contrast with cathepsin D that is expressed in all the tissues examined independently of the sex. For this reason we have termed the new enzyme liver-specific aspartic proteinase (LAP). Northern blot analyses indicate that LAP gene expression is under hormonal control. Indeed, in oestrogen-treated male fish, cathepsin D expression was not enhanced in the various tissues examined, but the LAP gene product appeared exclusively in the liver. Our results provide evidence for an oestrogen-induced expression of LAP gene in liver. We postulate that the sexual dimorphic expression of the LAP gene may be related to the reproductive process. (C) 2002 Elsevier Science B.V. All rights reserved.</t>
  </si>
  <si>
    <t>CNR, Inst Prot Biochem &amp; Enzymol, I-80125 Naples, Italy; Univ Naples Federico II, Dept Evolut &amp; Comparat Biol, Naples, Italy</t>
  </si>
  <si>
    <t>Parisi, E (corresponding author), CNR, Inst Prot Biochem &amp; Enzymol, Via Marconi 10, I-80125 Naples, Italy.</t>
  </si>
  <si>
    <t>Scudiero, Rosaria/AAI-2119-2020</t>
  </si>
  <si>
    <t>Scudiero, Rosaria/0000-0002-8186-9722</t>
  </si>
  <si>
    <t>PII S0378-1119(02)00683-2</t>
  </si>
  <si>
    <t>10.1016/S0378-1119(02)00683-2</t>
  </si>
  <si>
    <t>WOS:000178762000012</t>
  </si>
  <si>
    <t>Bioaccumulation of trace metals in the calanoid copepod Metridia gerlachei from the Weddell Sea (Antarctica)</t>
  </si>
  <si>
    <t>GREENLAND SEA; MARINE-INVERTEBRATES; TOXICOKINETIC MODELS; AMPHIPOD COLLECTIVES; SOUTHERN-OCEAN; MYTILUS-EDULIS; BOARD SHIP; ACCUMULATION; CADMIUM; VERIFICATION</t>
  </si>
  <si>
    <t>Bioaccumulation of Cd, Co, Cu, Ni, Pb and Zn in the Antarctic calanoid copepod Metridia gerlachei (Giesbrecht 1902) was investigated during a cruise of RV 'Polarstern' to the Weddell Sea, primarily to provide information on accumulation strategies for the metals tested. With the sole exception of Cd, the copepod accumulated metals during exposure and depurated them in uncontaminated seawater. The process of uptake and depuration was successfully described by a hyperbolic model, leading to significant estimations of the following experimental bioconcentration factors (BCFs): 210 (Co), 3430 (Cu), 3060 (Ni), 670 (Pb) and 2090 (Zn). Furthermore, we provide an approach to evaluate the sensitivity of Metridia gerlachei as a biomonitor of water-borne metals in the field; the results indicate minimal increments in ambient exposure concentrations of: 0.5 mug Cu 1(-1), 0.8 mug Ni 1(-1), 0.6 mug Pb 1(-1) and 0.2 mug Zn 1(-1), suggesting a high sensitivity of M. gerlachei for biomonitoring. (C) 2002 Elsevier Science B.V All rights reserved.</t>
  </si>
  <si>
    <t>Carl Ossietzky Univ Oldenburg, D-26111 Oldenburg, Germany</t>
  </si>
  <si>
    <t>Zauke, GP (corresponding author), Carl Ossietzky Univ Oldenburg, Postfach 2503, D-26111 Oldenburg, Germany.</t>
  </si>
  <si>
    <t>AUG 5</t>
  </si>
  <si>
    <t>PII S0048-9697(01)01147-0</t>
  </si>
  <si>
    <t>10.1016/S0048-9697(01)01147-0</t>
  </si>
  <si>
    <t>583FB</t>
  </si>
  <si>
    <t>WOS:000177395000001</t>
  </si>
  <si>
    <t>Medan, D; Montaldo, NH; Devoto, M; Mantese, A; Vasellati, V; Bartoloni, NH</t>
  </si>
  <si>
    <t>Plant-pollinator relationships at two altitudes in the Andes of Mendoza, Argentina</t>
  </si>
  <si>
    <t>HIGH TEMPERATE ANDES; FLOWERING PHENOLOGY; VISITATION RATES; CENTRAL CHILE; COMMUNITY; VISITORS; BIOLOGY; ECOLOGY; SYSTEMS</t>
  </si>
  <si>
    <t>The assemblages of visitors to angiosperms flowering at a montane and at a high alpine site in the Andes of Mendoza, Argentina (33-34degreesS) were described and the plant-flower visitor matrices were analyzed and compared to other systems, in particular those located at a similar latitude on the western slope of the Andes. In the low-attitude (montane) habitat, 23 plant species had a total of 126 interactions with 71 taxa of insects and one hummingbird, and at the higher site 21 plants and 45 insect species had 83 interactions. Connectances of the visitor matrices were 7.6 and 8.7, respectively. Diptera and Hymenoptera dominated the visitor assemblages at both sites without change of proportions with attitude, while Lepidoptera significantly increased at the higher site. Flies were more species-rich than expected at the sites' latitude and more constant across altitudes than is usually observed. Lack of a significant decrease with altitude of (1) the frequency of Hymenoptera and (2) the number of interactions per plant were the main differences with a comparable gradient in the Chilean Andes. The proportion of self-compatible species increased with altitude, however. use of phylogenetically-independent contrasts showed that the prevalence of selfers at higher altitudes does not reflect a generalized reaction pattern but results from two speciose families (Asteraceae and Fabaceae) showing more self-compatibility at high altitudes.</t>
  </si>
  <si>
    <t>Univ Buenos Aires, Fac Agron, Catedra Bot, RA-1417 Buenos Aires, DF, Argentina; Univ Buenos Aires, Fac Agron, Catedra Genet, RA-1417 Buenos Aires, DF, Argentina</t>
  </si>
  <si>
    <t>University of Buenos Aires; University of Buenos Aires</t>
  </si>
  <si>
    <t>Univ Buenos Aires, Fac Agron, Catedra Bot, Av San Martin 4453, RA-1417 Buenos Aires, DF, Argentina.</t>
  </si>
  <si>
    <t>diemedan@mail.retina.ar</t>
  </si>
  <si>
    <t>AUG</t>
  </si>
  <si>
    <t>10.2307/1552480</t>
  </si>
  <si>
    <t>595GQ</t>
  </si>
  <si>
    <t>WOS:000178100600001</t>
  </si>
  <si>
    <t>Kaufmann, R; Fuchs, M; Gosterxeier, N</t>
  </si>
  <si>
    <t>The soil fauna of an Alpine glacier foreland: Colonization and succession</t>
  </si>
  <si>
    <t>ACTIVE SUBNIVEAN INVERTEBRATES; ABUNDANCE PATTERNS; SOUTHERN CANADA; COLLEMBOLA; MICROARTHROPODS; ORGANISMS; MINERALIZATION; DECOMPOSITION; RESPIRATION; ECOSYSTEMS</t>
  </si>
  <si>
    <t>We investigated the development of soil macrofauna and mesofauna in the successional chronosequence of an Alpine glacier foreland located above the treeline. Sampling transects 10 m long were established at eight successional stages from 4 to 150 yr of age since deglaciation. and in addition two reference sites in front of the terminal moraine. Within the first 50 yr, macrofauna biomass and mesofauna abundance increased rapidly, attaining levels typical for all Older stages (macrofauna 0.5-7 g m(-2), microarthropods 50-120 10(3) ind. m(2)). Among the macrofauna nematoceran Diptera were dominant at most sites, only the early colonizing stages being dominated by carabid and lepidopteran larvae and enchytraeids. Acari were more abundant than Collembola. Temporal sequences of occurrence were documented for macrofauna families and for collembolan species. Successional age was the major determinant of community composition, additional influences being local variations in microclimatic conditions and soil properties. Biomass increased over the short alpine summer. hill community composition remained largely constant. The high aggregation of soil fauna affected the precision of abundance estimates. An outline of the trophic structure of evolving soil communities is presented.</t>
  </si>
  <si>
    <t>Univ Innsbruck, Inst Zool &amp; Limnol, A-6020 Innsbruck, Austria</t>
  </si>
  <si>
    <t>University of Innsbruck</t>
  </si>
  <si>
    <t>Univ Innsbruck, Inst Zool &amp; Limnol, Technikerstr 25, A-6020 Innsbruck, Austria.</t>
  </si>
  <si>
    <t>ruediger.kaufmann@uibk.ac.at</t>
  </si>
  <si>
    <t>10.2307/1552481</t>
  </si>
  <si>
    <t>WOS:000178100600002</t>
  </si>
  <si>
    <t>Arii, K; Turkington, R</t>
  </si>
  <si>
    <t>Do nutrient availability and competition limit plant growth of herbaceous species in the boreal forest understory?</t>
  </si>
  <si>
    <t>INTERSPECIFIC COMPETITION; RESOURCE AVAILABILITY; NEIGHBOR REMOVAL; ALPINE TUNDRA; DWARF SHRUBS; FERTILIZATION; VEGETATION; SOIL; HERBIVORY; COMMUNITY</t>
  </si>
  <si>
    <t>An experiment was conducted to investigate whether nutrient availability and competition limit aboveground growth of five herbaceous species in the boreal forest understory. The experiment involved adding fertilizer and removing neighbors of selected target individuals of five different species. Aboveground biomass and leaf number were measured as the response variables, and treatment effects were tested using ANOVA and ANCOVA. The five species showed variable responses to fertilizer addition with Achillea millefolium, Festuca altaica, and Mertensia paniculata showing significant increases. Lupinus arcticus had no response and there was a strong negative effect on survival of Anemone parviflora. Achillea was the only species that showed some growth limitation due to neighboring individuals for both biomass and leaf number; other species showed no response.</t>
  </si>
  <si>
    <t>Univ British Columbia, Dept Bot, Vancouver, BC V6T 1Z4, Canada</t>
  </si>
  <si>
    <t>University of British Columbia</t>
  </si>
  <si>
    <t>McGill Univ, Dept Biol, 1205 Ave Docteur Penfield, Montreal, PQ H3A 1B1, Canada.</t>
  </si>
  <si>
    <t>ken.arii@mail.mcgill.ca</t>
  </si>
  <si>
    <t>10.2307/1552482</t>
  </si>
  <si>
    <t>WOS:000178100600003</t>
  </si>
  <si>
    <t>Hiemstra, CA; Liston, GE; Reiners, WA</t>
  </si>
  <si>
    <t>Snow redistribution by wind and interactions with vegetation at upper treeline in the Medicine Bow Mountains, Wyoming, USA</t>
  </si>
  <si>
    <t>ROCKY-MOUNTAINS; DISTRIBUTION PATTERNS; TRANSPORT MODEL; ALPINE; TOPOGRAPHY; VALIDATION; ECOTONE; TERRAIN; ICE</t>
  </si>
  <si>
    <t>High-elevation areas in the Rocky Mountain treeline ecotone exhibit heterogeneous snow distribution resulting from interactions among topography, vegetation, and wind. Our study area-Libby Flats-is a gently arched ridge at 3200 m a.s.l. in the Medicine Bow Mountains, Wyoming. The Libby Flats snow season (October-May) features sub-freezing temperatures, abundant snow, and strong westerly winds (averaging 10 m s(-1)). While relief is gentle on Libby Flats, it, together with islands of krummholz and flagged trees, produces snow depths ranging from 0 to 7 m. These variable snow depths have important feedbacks on the occurrence of trees and vegetation. as well as direct controls on ecosystem properties. To better understand the factors controlling these interactions, snow distribution patterns were measured and modeled over a 6.25 km(2) area on Libby Flats during the 1997-98 snow season. Snow-depth observations during the snow season were compared with results from the SnowTran-3D model, These tests demonstrated that the model closely reproduces the observed snow distribution patterns and adequately represents snow depths at a 5 m spatial resolution on Libby Flats. Simulation experiments demonstrate tire relative importance of wind speeds, precipitation, and vegetation in the natural system.</t>
  </si>
  <si>
    <t>Univ Wyoming, Dept Bot, Laramie, WY 82071 USA; Colorado State Univ, Dept Atmospher Sci, Ft Collins, CO 80523 USA</t>
  </si>
  <si>
    <t>University of Wyoming; Colorado State University</t>
  </si>
  <si>
    <t>Hiemstra, CA (corresponding author), Univ Wyoming, Dept Bot, Laramie, WY 82071 USA.</t>
  </si>
  <si>
    <t>hiemstra@uwyo.edu</t>
  </si>
  <si>
    <t>10.2307/1552483</t>
  </si>
  <si>
    <t>WOS:000178100600004</t>
  </si>
  <si>
    <t>Mittaz, C; Imhof, M; Hoelzle, M; Haeberli, W</t>
  </si>
  <si>
    <t>Snowmelt evolution mapping using an energy balance approach over an alpine terrain</t>
  </si>
  <si>
    <t>PERMAFROST; MODEL; TEMPERATURE; COVER</t>
  </si>
  <si>
    <t>A computer model simulating snowmelt evolution and the spatial snowmelt pattern using an energy balance approach over an alpine terrain was developed, With a digital elevation model (DEM), surface characteristics information and meteorological data as input. all radiation balance components, turbulent fluxes. precipitation, and finally snowmelt were modeled oil a daily basic,, Special emphasis was given to snow redistribution. The model was applied to an area of 35 km(2) in the Schilthorn Massif (Bernese Oberland. Switzerland) for 1990-97. The model calculations are compared with a snowmelt evolution map, which was produced by combining seven scenes of aerial photographs taken ill the Bernese Alps during the melting season 1997 (March-September). Both the temporal comparison of the snowmelt evolution and the spatial comparison of simulated and observed snowmelt patterns show a good accordance: at any of the compared dates. spatial coincidence is equal to or better than 78%. It can therefore be concluded that the model supplies a quite realistic reproduction of the energy exchange processes taking place at the ground snow-cover/atmosphere interface during winter and spring.</t>
  </si>
  <si>
    <t>Univ Zurich, Dept Geog, CH-8057 Zurich, Switzerland; Univ Bern, Dept Geog, CH-3012 Bern, Switzerland</t>
  </si>
  <si>
    <t>University of Zurich; University of Bern</t>
  </si>
  <si>
    <t>Mittaz, C (corresponding author), Univ Zurich, Dept Geog, Winterthurerstr 190, CH-8057 Zurich, Switzerland.</t>
  </si>
  <si>
    <t>Hoelzle, Martin/0000-0002-3591-4377</t>
  </si>
  <si>
    <t>10.2307/1552484</t>
  </si>
  <si>
    <t>WOS:000178100600005</t>
  </si>
  <si>
    <t>Skarpe, C; van der Wal, R</t>
  </si>
  <si>
    <t>Effects of simulated browsing and length of growing season on leaf characteristics and flowering in a deciduous Arctic shrub, Salix polaris</t>
  </si>
  <si>
    <t>PLANT-RESPONSES; TUNDRA; BIOMASS; MOOSE; BIRCH; HERBIVORY; AVAILABILITY; POPULATION; ALLOCATION; NUTRIENTS</t>
  </si>
  <si>
    <t>Plants respond to herbivory either by maximizing resource acquisition and compensatory growth or by minimizing loss of resources, e.g.. by investing in chemical or structural defence. We studied the response to simulated browsing by the deciduous dwarf shrub, Salix polaris, on high Arctic Spitsbergen. Salix polaris is browsed by Svalbard reindeer, and its response to browsing may influence subsequent utilization. We compared leaf characteristics and flowering of S. polaris from areas with relatively short, intermediate, and long growing season, and their responses 1 yr after simulated browsing in early. mid, and late summer. Leaf numbers, total and individual biomass of leaves, and the number of inflorescences were greatly reduced the year after treatment, There was no increase in phenolics but a tendency to an increase in N content in the leases of S. polaris I yr after treatment. Salix polaris showed little variation in the response to simulated browsing) with local variation in resource availability (length of growing, time of browsing. The results suggest that S. polaris responds to summer browsing the previous year by allocating resources to compensatory growth rather than to defence. For reindeer, browsing of S. polaris leads to a sizeable decrease in food quantity and, possibly, to a limited increase in food quality.</t>
  </si>
  <si>
    <t>Norwegian Inst Nat Res, N-7485 Trondheim, Norway; Ctr Ecol &amp; Hydrol, Banchory AB31 4BW, Kincardine, Scotland</t>
  </si>
  <si>
    <t>Norwegian Institute Nature Research; UK Centre for Ecology &amp; Hydrology (UKCEH)</t>
  </si>
  <si>
    <t>Norwegian Inst Nat Res, Tungasletta 2, N-7485 Trondheim, Norway.</t>
  </si>
  <si>
    <t>van der Wal, Rene/F-3177-2010</t>
  </si>
  <si>
    <t>10.2307/1552485</t>
  </si>
  <si>
    <t>WOS:000178100600006</t>
  </si>
  <si>
    <t>Uchida, M; Muraoka, H; Nakatsubo, T; Bekku, Y; Ueno, T; Kanda, H; Koizumi, H</t>
  </si>
  <si>
    <t>Net photosynthesis, respiration, and production of the moss Sanionia uncinata on a glacier foreland in the High Arctic, Ny-Alesund, Svalbard</t>
  </si>
  <si>
    <t>SOIL RESPIRATION; CARBON BALANCE; ECOSYSTEMS; BRYOPHYTES; TUNDRA</t>
  </si>
  <si>
    <t>As part of the study on carbon cycling in a deglaciated area in the High Arctic, Ny-Alesund, Svalbard (79degreesN), we examined the effects of abiotic factors on the net photosynthesis and dark respiration rates of the dominant moss Sanionia uncinata (Hedw.) Loeske. The rates of net photosynthesis (Pn) and dark respiration (R) were measured using an open-flow gas exchange system with an infrared gas analyzer in the snow-free season of 2000. High photosynthetic activities were observed only in rainy days or soon after rainfall, when moss water content was high. Under a sufficiently humid condition, Pn determined at near light saturation was almost constant over a wide temperature range from 7 to 23degreesC, while R increased with temperature with a Q(10) value of 3.0. Based on the relationships between abiotic factors and the CO2 exchange rate, we estimated the net primary production (NPP) of the moss in the snow-free season using the meteorological data obtained over 6 yr (1995-2000). The mean, minimum, and maximum values of NPP for the 6-yr period were 17, 1, and 30 g dry wt. m(-2) snow-free season(-1), respectively. It was suggested that NPP of the moss in this area varied widely between years depending primarily on water availability.</t>
  </si>
  <si>
    <t>Gifu Univ, Inst Basin Ecosyst Studies, Gifu 5011193, Japan; Hiroshima Univ, Sch Biosphere Sci, Dept Environm Dynam &amp; Management, Higashihiroshima 7398521, Japan; Tsuru Univ, Dept Primary Educ, Tsuru 4028555, Japan; Grad Univ Adv Studies, Natl Inst Polar Res, Dept Polar Sci, Itabashi Ku, Tokyo 1738515, Japan; Natl Inst Polar Res, Dept Biol, Itabashi Ku, Tokyo 1738515, Japan</t>
  </si>
  <si>
    <t>Gifu University; Hiroshima University; Research Organization of Information &amp; Systems (ROIS); National Institute of Polar Research (NIPR) - Japan; Graduate University for Advanced Studies - Japan; Research Organization of Information &amp; Systems (ROIS); National Institute of Polar Research (NIPR) - Japan</t>
  </si>
  <si>
    <t>Uchida, M (corresponding author), Gifu Univ, Inst Basin Ecosyst Studies, Yanagido 1-1, Gifu 5011193, Japan.</t>
  </si>
  <si>
    <t>Nakatsubo, Takayuki/V-4520-2019</t>
  </si>
  <si>
    <t>Nakatsubo, Takayuki/0000-0003-3329-0123; Muraoka, Hiroyuki/0000-0003-1633-9079</t>
  </si>
  <si>
    <t>10.2307/1552486</t>
  </si>
  <si>
    <t>WOS:000178100600007</t>
  </si>
  <si>
    <t>Zielke, M; Ekker, AS; Olsen, RA; Spjelkavik, S; Solheim, B</t>
  </si>
  <si>
    <t>The influence of abiotic factors on biological nitrogen fixation in different types of vegetation in the High Arctic, Svalbard</t>
  </si>
  <si>
    <t>FREE-LIVING CYANOBACTERIA; ACETYLENE-REDUCTION; NOSTOC-COMMUNE; SPITSBERGEN; ECOSYSTEM; CRUSTS; ISLAND; TUNDRA; MOSS</t>
  </si>
  <si>
    <t>The influence of environmental factors on the nitrogen fixation activity in soil and vegetation samples from different types of plant communities from the Sassen Valley (78degreesN, 16degreesE), Svalbard, Norway, was measured under controlled laboratory conditions using the Acetylene reduction assay throughout the summers of 1997 and 2000. Samples for study were chosen from six sites along a 2-km-long transect representing different types of arctic vegetation. The influence of temperature soil water content, and light intensity on acetylene reduction rates was studied. Samples from all site; showed low and almost constant acetylene reduction rates between 0 and 10degreesC. Above 10degreesC the activity of all samples increased rapidly and reached its maximum at about 25 and 32degreesC for the samples with free-living cyanobacteria and moss-associated cyanobacteria, respectively. There was a significant water-dependent increase of acetylene reduction activity for all types of vegetation. The samples showed a clear response to varying light conditions, i.e. a rapid decrease in acetylene reduction rates when light intensity decreased from 140 to 80 mumol m(-2) s(-1) depending on the type of vegetation.</t>
  </si>
  <si>
    <t>Univ Tromso, Dept Biol, N-9037 Tromso, Norway; Univ Courses Svalbard, N-9171 Longyearbyen, Norway; Norwegian Univ Sci &amp; Technol, Dept Bot, N-7034 Trondheim, Norway; Agr Univ Norway NLH, Dept Chem &amp; Biotechnol, N-1422 As, Norway</t>
  </si>
  <si>
    <t>UiT The Arctic University of Tromso; Norwegian University of Science &amp; Technology (NTNU); Norwegian University of Life Sciences</t>
  </si>
  <si>
    <t>Zielke, M (corresponding author), Univ Tromso, Dept Biol, N-9037 Tromso, Norway.</t>
  </si>
  <si>
    <t>10.2307/1552487</t>
  </si>
  <si>
    <t>WOS:000178100600008</t>
  </si>
  <si>
    <t>Kirkpatrick, JB; Scott, JJ</t>
  </si>
  <si>
    <t>Change in undisturbed vegetation on the coastal slopes of subantarctic Macquarie Island, 1980-1995</t>
  </si>
  <si>
    <t>The vegetation of 30 undisturbed permanent quadrats on the steep coastal slopes of subantarctic Macquarie Island was recorded in 1980-81, and 1994-95, a period in which temperatures rose briefly then declined. precipitation increased and rabbit grazing pressure decreased. Previous investigators of the plant ecology Of the island have suggested a successional sequence. in the absence of disturbance, towards total dominance of the two major plant species on the coastal slopes. the tall tussock-forming grass Poa foliosa and the megaherb Tsilbocarpa polaris, with a concomitant reduction in the diversity of subordinate species. Our observations demonstrate a more complex reality. Dense tall tussock grassland became more open, resulting in an increase in quadrat species richness, The more open tussock grassland on the upper slopes became more dense, with a concomitant decrease in quadrat species richness, The large herb S. polaris changed little in its abundance over the period, perhaps reflecting a need for disturbance for its expansion. The opening of dense stands of P. foliosa may he part of a previously unrecorded endogenous successional process. While the Closure of open stands of Poa could be a response to improved growth conditions, including relief from rabbit grazing and the relatively high temperatures in the initial years of monitoring, but may also be endogenous in origin.</t>
  </si>
  <si>
    <t>Univ Tasmania, Sch Geog &amp; Environm Studies, Hobart, Tas 7001, Australia</t>
  </si>
  <si>
    <t>Kirkpatrick, JB (corresponding author), Univ Tasmania, Sch Geog &amp; Environm Studies, Box 252-78,GPO, Hobart, Tas 7001, Australia.</t>
  </si>
  <si>
    <t>Kirkpatrick, James/0000-0003-2763-2692</t>
  </si>
  <si>
    <t>10.2307/1552488</t>
  </si>
  <si>
    <t>WOS:000178100600009</t>
  </si>
  <si>
    <t>Bockheim, JG</t>
  </si>
  <si>
    <t>Landform and soil development in the McMurdo Dry Valleys, Antarctica: a regional synthesis</t>
  </si>
  <si>
    <t>WRIGHT VALLEY; TAYLOR GLACIER; VICTORIA LAND; COLD DESERT; ICE; CHRONOLOGY; MOUNTAINS; DYNAMICS; ORIGIN; SALTS</t>
  </si>
  <si>
    <t>The McMurdo Valleys Mapping Project (VALMAP) contains soils data collected from 473 sites in the McMurdo Dry Valleys (77degrees07.5-78degrees00'S 160degrees-164degreesE), Antarctica. The database includes surface boulder lithology frequency. and weathering features observations of patterned ground, permafrost,, and ground-ice forms; detailed soil profile descriptions laboratory characterization and classification of the soils. Each site was located oil 1:50,000 topographic map,; from aerial photographs and elevation measurements, digitized, and entered into an ArcInfo Geographic Information System. The sites are arrayed along an ecoclimatic gradient that includes 21 coastal sites (4.4% of total), 109 inland valley floor sites (23%), 196 inland valley side sites (41%), 136 upland alley sites (29%), and 11 plateau fringe sites (2.3% of total). Whereas ice-cemented permafrost was predominant at coastal sites and along the polar plateau, 42% of the sites had dry permafrost in the upper 1 m. Massive ice occurs to a limited extent as ice-wedge polygons, ice-cored drift. and rock glaciers. Sand-wedge casts in upland valleys attest to a recession of the ice-cemented permafrost to greater depths over time. The most strongly developed soils and weathering features are on valley floors and in upland valleys where Older deposits and landforms occur. The distribution of anions in soil:water extract,, is reflective of air mass movement, with most soils reflecting a coastal source, Seventy percent of the soils examined in the McMurdo Dry Valleys are classified as Anhyorthels reflecting the lack of cryoturbation in the cold desert Antarctic environment.</t>
  </si>
  <si>
    <t>Univ Wisconsin, Dept Soil Sci, Madison, WI 53706 USA; Univ Wisconsin, Inst Environm Studies, Madison, WI 53706 USA</t>
  </si>
  <si>
    <t>University of Wisconsin System; University of Wisconsin Madison; University of Wisconsin System; University of Wisconsin Madison</t>
  </si>
  <si>
    <t>Univ Wisconsin, Dept Soil Sci, 1525 Observ Dr, Madison, WI 53706 USA.</t>
  </si>
  <si>
    <t>bockheim@facstaff.wisc.edu</t>
  </si>
  <si>
    <t>10.2307/1552489</t>
  </si>
  <si>
    <t>WOS:000178100600010</t>
  </si>
  <si>
    <t>Lancaster, N</t>
  </si>
  <si>
    <t>Flux of eolian sediment in the McMurdo Dry Valleys, Antarctica: a preliminary assessment</t>
  </si>
  <si>
    <t>DEPOSITION; DUST</t>
  </si>
  <si>
    <t>Data from passive sediment traps installed at locations throughout the McMurdo Dry Valleys of Antarctica provide for an initial assessment of rates of transport of dust (sediment transported in suspension by wind) in these areas. The flux of eolian sediment in these areas is divided into material of sand and silt and clay size. Sites in close proximity to the valley floors tend to be dominated by movement of sand, whereas sites on ice-covered lakes and glaciers are dominated by transport of silt- and clay-sized sediment, Material transported by wind is likely derived from distal fluvial sediments, Rates of dust flux are generally much lower than in other desert environments. Controls on the flux of eolian material in this environment appear to be sediment supply and. to a lesser extent, wind speed.</t>
  </si>
  <si>
    <t>Desert Res Inst, Div Earth &amp; Ecosyst Sci, Reno, NV 89512 USA</t>
  </si>
  <si>
    <t>Nevada System of Higher Education (NSHE); Desert Research Institute NSHE</t>
  </si>
  <si>
    <t>Desert Res Inst, Div Earth &amp; Ecosyst Sci, Reno, NV 89512 USA.</t>
  </si>
  <si>
    <t>nick@dri.edu</t>
  </si>
  <si>
    <t>Lancaster, Nicholas/0000-0003-1585-5282</t>
  </si>
  <si>
    <t>10.2307/1552490</t>
  </si>
  <si>
    <t>WOS:000178100600011</t>
  </si>
  <si>
    <t>Licht, KJ; Andrews, JT</t>
  </si>
  <si>
    <t>The 14C record of Late Pleistocene ice advance and retreat in the central Ross Sea, Antarctica</t>
  </si>
  <si>
    <t>LAST GLACIAL MAXIMUM; MARINE-SEDIMENTS; HOLOCENE DEGLACIATION; CONTINENTAL-SHELF; BIOGENIC SILICA; NORTH-ATLANTIC; LATE WISCONSIN; RADIOCARBON; SOUTHERN; HISTORY</t>
  </si>
  <si>
    <t>Twenty-three AMS radiocarbon dates obtained from central Ross Sea sediment cores constrain the timing of ice advance across the continental shelf and highlight the difficulties of determining a chronology of ice-sheet retreat in this region. Ages derived from till and postglacial sediments are bimodally distributed and the majority of dates are &gt;20 C-14 ka. The dates obtained from the acid-insoluble organic fraction of till indicate that grounded ice advanced across the inner central Ross Sea continental shelf 17.8 +/- C-14 ka. Benthic foraminifera from till oil the outer shelf indicate that grounded ice reached its maximum Position after 13.8 C-14 ka indicating that the Ross Sea sector of the Antarctic ice sheet was advancing as eustatic sea level was on the rise. Postglacial Sediment sequences in the central Ross Sea are up to 70 cm thick. and the ages are Older than those from the western Ross Sea. These postglacial sediments produced ages -20 C-14 ka (uncorrected) that are apparently inconsistent with the timing of ice advance and Preclude development of a high-resolution chronology of ice-sheet retreat. Surface sediments deposited under open-marine conditions in the central Ross Sea typically range from 4000 to 6000 C-14 yr BR Total organic carbon (TOC) measurements for the dated sediments in this study reveal no significant relationship between TOC content and reported C-14 age.</t>
  </si>
  <si>
    <t>Indiana Univ Purdue Univ, Dept Geol, Indianapolis, IN 46202 USA; Univ Colorado, Inst Arctic &amp; Alpine Res, Boulder, CO 80309 USA; Univ Colorado, Dept Geol Sci, Boulder, CO 80309 USA</t>
  </si>
  <si>
    <t>Indiana University System; Indiana University-Purdue University Indianapolis; University of Colorado System; University of Colorado Boulder; University of Colorado System; University of Colorado Boulder</t>
  </si>
  <si>
    <t>Licht, KJ (corresponding author), Indiana Univ Purdue Univ, Dept Geol, 723 W Michigan St, Indianapolis, IN 46202 USA.</t>
  </si>
  <si>
    <t>Licht, Kathy/0000-0002-2233-2853</t>
  </si>
  <si>
    <t>10.2307/1552491</t>
  </si>
  <si>
    <t>WOS:000178100600012</t>
  </si>
  <si>
    <t>Stott, T</t>
  </si>
  <si>
    <t>Bedload transport and channel bed changes in the proglacial Skeldal River, northeast Greenland</t>
  </si>
  <si>
    <t>GRAVEL TRANSPORT; LOAD TRANSPORT; SEDIMENT; FLUCTUATIONS; DISCHARGE; STORAGE; RATES</t>
  </si>
  <si>
    <t>This study presents data on bedload transport rates for the proglacial Skeldal River in northeast Greenland monitored during August 1998. The study adds to a very limited data set from which we can assess bedload transport rates in true Arctic environments. Bedload transport rates were determined using a Sediment budget approach based on cross-section resurvey, supplemented by at-a-point bedload measurements using a Helley-Smith bedload sampler, Bedload transport rates were low and ranged from 0.02 to 0.04 kg m(-1) s(-1). These rates fall within the extremes reported for arctic and subarctic environments. Bedload sampling conducted through flood events suggests that there is a broad (but not significant) relationship with discharge. Maximum bedload transport rates derived using a sediment budget approach based on cross-section resurvey were found to he 50% lower than maximum rates measured at-a-point using a Helley-Smith bedload sampler during meltwater flood events. Bedload transport rates derived ill this study vary both spatially and temporally by up to all order of magnitude, Upstream bedload supply parameters are believed to be more influential than specific stream power in controlling the transport patterns and changes in channel bed elevation observed.</t>
  </si>
  <si>
    <t>Liverpool John Moores Univ, Sch Outdoors Leisure &amp; Food, Liverpool L17 6BD, Merseyside, England</t>
  </si>
  <si>
    <t>Liverpool John Moores University</t>
  </si>
  <si>
    <t>Stott, T (corresponding author), Liverpool John Moores Univ, Sch Outdoors Leisure &amp; Food, IM Marsh Campus,Barkhill Rd, Liverpool L17 6BD, Merseyside, England.</t>
  </si>
  <si>
    <t>10.2307/1552492</t>
  </si>
  <si>
    <t>WOS:000178100600013</t>
  </si>
  <si>
    <t>Holocene gorge excavation linked to boulder fan formation and frost weathering in a Norwegian alpine periglaciofluvial system</t>
  </si>
  <si>
    <t>EROSION RATES; BEDROCK CHANNELS; SOUTHERN-NORWAY; RIVER INCISION; JOTUNHEIMEN; SEDIMENT; MORPHOLOGY; GRADIENT; BE-10; AL-26</t>
  </si>
  <si>
    <t>Landform-sediment-process assemblages associated with four gorges and their corresponding downstream boulder fans in the alpine periglaciofluvial system of the Storutla river, Jotunheimen, southern Norway, are described. The potential volume of frost-weathered sediment excavated from the gorges is compared using a sediment-budget approach to calculate the volume of angular sediment within the fans accumulated during the Holocene. Fan volumes represent an estimated 18 to 53% of the total gorge volume. Allowing also for the volume of relatively small caliber material flushed through the system, 24 to 97% of the gorge volume is accounted for by an estimated minimum long-term Holocene rate of gorge excavation of 0.002 to 0.010 m(3) m(-1) yr(-1) (minimum long-term Holocene gorge incision rate of 0.15-0.39 mm yr(-1)). Most of the remaining gorge volume is attributed to substantial pre-Holocene subglacial gorge incision by meltwater action. These rates of Holocene periglaciofluvial erosion of bedrock appear to exceed those characteristic of temperate fluvial systems unaffected by tectonic uplift. The implied rates of frost weathering (macrogelivation) are less than those under optimum conditions in arctic-alpine environments but support the efficacy of frost weathering in locations susceptible to the annual freeze-thaw cycle.</t>
  </si>
  <si>
    <t>Univ Gloucestershire, Geog &amp; Environm Management Res Unit, Cheltenham GL50 4AZ, Glos, England; Univ Coll Swansea, Dept Geog, Holocene Res Grp, Swansea SA2 8PP, W Glam, Wales</t>
  </si>
  <si>
    <t>University of Gloucestershire; Swansea University</t>
  </si>
  <si>
    <t>McEwen, LJ (corresponding author), Univ Gloucestershire, Geog &amp; Environm Management Res Unit, Francis Close Hall,Swindon Rd, Cheltenham GL50 4AZ, Glos, England.</t>
  </si>
  <si>
    <t>10.2307/1552493</t>
  </si>
  <si>
    <t>WOS:000178100600014</t>
  </si>
  <si>
    <t>Lokkeborg, S; Robertson, G</t>
  </si>
  <si>
    <t>Seabird and longline interactions:: effects of a bird-scaring streamer line and line shooter on the incidental capture of northern fulmars Fulmarus glacialis</t>
  </si>
  <si>
    <t>BIOLOGICAL CONSERVATION</t>
  </si>
  <si>
    <t>longlining; incidental mortality; mitigation measures; mortality reduction; bycatch</t>
  </si>
  <si>
    <t>ALBATROSS DIOMEDEA-EXULANS</t>
  </si>
  <si>
    <t>Interactions between seabirds and longline fishing can cause incidental bird mortality and reduced gear efficiency. The potential for solving these problems by using a bird-scaring streamer line and a line shooter was investigated in commercial longlining in the northern Atlantic off the coast of Norway. We compared the bycatch rate of northern fulmars Fulmarus glacialis, the loss rate of baits to fulmars and the catch rates of fish target species among lines set with either of these mitigation measures, a combination of both and no mitigation measure. A total of 58,420 hooks were set in each of the four treatments. No birds were caught using the bird-scaring line alone and a single fulmar was caught when the bird-scaring line was used in combination with the line shooter. In contrast, 32 fulmars were caught in sets with no mitigation device and thirteen in sets with the line shooter alone. Losses of mackerel bait were reduced when the bird-scaring line was used, but not by using the line shooter alone. Longlines set with the line shooter reached 3 m depth 15% faster then lines set without the line shooter; beyond this depth sinking rates were similar (about 15 cm s(-1)). Fish catch did not vary significantly among setting methods. These results should also be applicable to the bycatch of Fulmarus spp. in demersal longline fisheries worldwide. (C) 2002 Elsevier Science Ltd. All rights reserved.</t>
  </si>
  <si>
    <t>Inst Marine Res, Fish Capture Div, N-5817 Bergen, Norway; Australian Antarctic Div, Kingston, Tas 7050, Australia</t>
  </si>
  <si>
    <t>Institute of Marine Research - Norway; Australian Antarctic Division</t>
  </si>
  <si>
    <t>Lokkeborg, S (corresponding author), Inst Marine Res, Fish Capture Div, POB 1870 Nordnes, N-5817 Bergen, Norway.</t>
  </si>
  <si>
    <t>svein.lokkeborg@imr.no</t>
  </si>
  <si>
    <t>Lokkeborg, Svein/0000-0003-3049-2977</t>
  </si>
  <si>
    <t>0006-3207</t>
  </si>
  <si>
    <t>BIOL CONSERV</t>
  </si>
  <si>
    <t>Biol. Conserv.</t>
  </si>
  <si>
    <t>PII S0006-3207(01)00262-2</t>
  </si>
  <si>
    <t>10.1016/S0006-3207(01)00262-2</t>
  </si>
  <si>
    <t>568BV</t>
  </si>
  <si>
    <t>WOS:000176523300007</t>
  </si>
  <si>
    <t>Cockell, CS; Lee, P</t>
  </si>
  <si>
    <t>The biology of impact craters - a review</t>
  </si>
  <si>
    <t>BIOLOGICAL REVIEWS</t>
  </si>
  <si>
    <t>impact crater; succession; lake; hydrothermal; Mars; Haughton; comet; asteroid</t>
  </si>
  <si>
    <t>MOUNT-ST-HELENS; DEVON-ISLAND; POLAR DESERT; HYDROTHERMAL ACTIVITY; HAUGHTON FORMATION; VOLCANIC-ERUPTION; PLANT-COMMUNITIES; KRAKATAU-ISLANDS; ARCTIC CANADA; RIES CRATER</t>
  </si>
  <si>
    <t>Impact craters contain ecosystems that are often very different from the ecosystems that surround them. On Earth over 150 impact craters have been identified in a wide diversity of biomes. All natural events that can cause localized disruption of ecosystems have quite distinct patterns of recovery. Impact events are unique in that they are the only extraterrestrial mechanism capable of disrupting an ecosystem locally in space and time. Thus, elucidating the chronological sequence of change at the sites of impacts is of ecological interest. In this synthetic review we use the existing literature, coupled with our own observations at the Haughton impact structure, Devon Island, Nunavut, Canada to consider the patterns of biological recovery at the site of impact craters and the ecological characteristics of impact craters. Three phases of recovery are suggested. The Phase of Thermal Biology, a phase associated with the localized, ephemeral thermal anomaly generated by an impact event. The Phase of Impact Succession and Climax, a phase marked by multiple primary and secondary succession events both in the aquatic realm (impact crater-lakes) and terrestrial realm (colonization of paleolacustrine deposits and impact-generated substrata) that are followed by periods of climax ecology. In the case of large-scale impact events (&gt; 10(4) Mt), this latter phase may also be influenced by successional changes in the global environment. Finally, during the Phase of Ecological Assimilation, the disappearance of the surface geological expression of an impact structure results in a concomitant loss of ecological distinctiveness. In extreme cases, the impact structure is buried. Impact succession displays similarities and differences to succession following other agents of ecological disturbance, particularly volcanism.</t>
  </si>
  <si>
    <t>British Antarctic Survey, Cambridge CB3 0ET, England; NASA, Ames Res Ctr, Moffett Field, CA 94035 USA; SETI Inst, Moffett Field, CA 94035 USA</t>
  </si>
  <si>
    <t>1464-7931</t>
  </si>
  <si>
    <t>BIOL REV</t>
  </si>
  <si>
    <t>Biol. Rev.</t>
  </si>
  <si>
    <t>10.1017/S146479310100584X</t>
  </si>
  <si>
    <t>594PC</t>
  </si>
  <si>
    <t>WOS:000178058500001</t>
  </si>
  <si>
    <t>Kim, SJ; Flato, GM; Boer, GJ; McFarlane, NA</t>
  </si>
  <si>
    <t>A coupled climate model simulation of the Last Glacial Maximum, part 1: transient multi-decadal response</t>
  </si>
  <si>
    <t>GLOBAL OCEAN CIRCULATION; ANTARCTIC CIRCUMPOLAR CURRENT; ATLANTIC DEEP-WATER; GREENHOUSE-GAS; MIXED-LAYER; SEA-ICE; BOUNDARY; TRANSPORT; RECORD; RATES</t>
  </si>
  <si>
    <t>A coupled atmosphere-ocean-sea ice-land surface climate system model developed at the Canadian Centre for Climate Modelling and Analysis (CCCma) is used to investigate the response to glacial ice-sheet topography and decreased CO2 representative of the last glacial maximum (LGM, roughly 21,000 years before present). Imposing these glacial boundary conditions leads to a strong and rapid climate adjustment, first in the atmosphere, and then in the ocean. We describe the model and boundary conditions and analyze the initial transient response. In a subsequent paper we analyze the near-equilibrium response. During the transient phase, surface air temperature rapidly decreases with time, The rapid cooling over the Laurentide and Fennoscandian ice sheets introduces a strong inter-hemispheric asymmetry. Sea surface temperature also decreases and after 80 years of integration, ocean surface temperature has decreased by 3 degreesC and global surface air temperature by 5 degreesC. The expected overall cooling is contrasted by marked regions of unexpected localized ocean surface warming and the retreat of sea ice in the northern North Atlantic and in the high latitude Southern Ocean. This strong transient behavior, associated with more vigorous oceanic convection at these high latitudes, represents the localization of the initial response in areas remote from the direct forcing change. The strength of the North Atlantic (Southern Ocean) overturning stream function, associated with the formation of North Atlantic Deep Water (Antarctic Bottom Water), increases from 12 to 36 Sv (2 to 26 Sv). There is a marked increase in the Antarctic Circumpolar Current transport as well (from 80 to 140 Sv), even though the wind stress decreases over the Southern Ocean, presumably as a consequence of the enhanced bottom pressure torque due to an increase in the density and the formation of Antarctic Bottom Water. Both precipitation and evaporation decrease on average with time and the change in the hydrological cycle modifies sea surface salinity (SSS). SSS increases in the Arctic Ocean due to a decrease in river runoff while it decreases in the North Atlantic due to an increase in river runoff and an increase in precipitation minus evaporation. The initial (and near equilibrium) climate response to LGM forcing in the fully coupled atmosphere-ocean climate model is quite different from that in the associated atmosphere-mixed layer ocean model due to very strong oceanic feedbacks. This is especially evident where oceanic convection is active. The anomalously warm surface temperature, especially in the Southern Ocean, and the marked increase in the overturning circulation are transient features of the response to imposed LGM boundary conditions which moderate or reverse as the system approaches equilibrium (as described in the companion paper). Other differences with the mixed layer simulation include a considerably colder tropical Pacific and the development of a La Nina-like response both of which are absent in the mixed layer simulations.</t>
  </si>
  <si>
    <t>Univ Victoria, Meteorol Serv Canada, Canadien Ctr Climate Modelling &amp; Anal, Victoria, BC V8W 2Y2, Canada</t>
  </si>
  <si>
    <t>University of Victoria; Environment &amp; Climate Change Canada; Meteorological Service of Canada; Canadian Centre for Climate Modelling &amp; Analysis (CCCma)</t>
  </si>
  <si>
    <t>Univ Victoria, Meteorol Serv Canada, Canadien Ctr Climate Modelling &amp; Anal, POB 1700, Victoria, BC V8W 2Y2, Canada.</t>
  </si>
  <si>
    <t>Seong-joong.kim@ec.ge.ca</t>
  </si>
  <si>
    <t>boer, george/AAB-1269-2021; Flato, Gregory M/K-6711-2015</t>
  </si>
  <si>
    <t>10.1007/s00382-002-0243-y</t>
  </si>
  <si>
    <t>591FZ</t>
  </si>
  <si>
    <t>WOS:000177870200011</t>
  </si>
  <si>
    <t>Pörtner, HO</t>
  </si>
  <si>
    <t>Climate variations and the physiological basis of temperature dependent biogeography:: systemic to molecular hierarchy of thermal tolerance in animals</t>
  </si>
  <si>
    <t>Annual Meeting of the Society-for-Experimental-Biology</t>
  </si>
  <si>
    <t>APR 02-03, 2001</t>
  </si>
  <si>
    <t>UNIV KENT, CANTERBURY, ENGLAND</t>
  </si>
  <si>
    <t>UNIV KENT</t>
  </si>
  <si>
    <t>air breather; cold adaptation; critical temperatures; geographical distribution; law of tolerance; mitochondria; pejus temperatures; proton leakage; standard metabolic rate; water breather; bird; bivalve; crab; fish; mammal; reptile; squid; worm</t>
  </si>
  <si>
    <t>HEAT-SHOCK PROTEINS; SNAILS GENUS TEGULA; OXIDATIVE STRESS; MITOCHONDRIAL-FUNCTION; ANTARCTIC BIVALVE; ARENICOLA-MARINA; RAINBOW-TROUT; DECAPOD CRUSTACEANS; CARDIAC-PERFORMANCE; ATMOSPHERIC OXYGEN</t>
  </si>
  <si>
    <t>The physiological mechanisms limiting and adjusting cold and heat tolerance have regained interest in the light of global warming and associated shifts in the geographical distribution of ectothermic animals. Recent comparative studies, largely carried out on marine ectotherms, indicate that the processes and limits of thermal tolerance are linked with the adjustment of aerobic scope and capacity of the whole animal as a crucial step in thermal adaptation on top of parallel adjustments at the molecular or membrane level. In accordance with Shelford's law of tolerance decreasing whole animal aerobic scope characterises the onset of thermal limitation at low and high pejus thresholds (pejus = getting worse). The aerobic scope of an animal indicated by falling oxygen levels in the body fluids and or the progressively limited capacity of circulatory and ventilatory mechanisms. At high temperatures, excessive oxygen demand causes insufficient oxygen levels in the body fluids, whereas at low temperatures the aerobic capacity of mitochondria may become limiting for ventilation and circulation. Further cooling or warming beyond these limits leads to low or high critical threshold temperatures (T-c) where aerobic scope disappears and transition to an anaerobic mode of mitochondrial metabolism and progressive insufficiency of cellular energy levels occurs. The adjustments of mitochondrial densities and their functional properties appear as a critical process in defining and shifting thermal tolerance windows. The finding of an oxygen limited thermal tolerance owing to loss of aerobic scope is in line with Taylor's and Weibel's concept of symmorphosis, which implies that excess capacity of any component of the oxygen delivery system is avoided. The present study suggests that the capacity of oxygen delivery is set to a level just sufficient to meet maximum oxygen demand between the average highs and lows of environmental temperatures. At more extreme temperatures only time limited passive survival is supported by anaerobic metabolism or the protection of molecular functions by heat shock proteins and antioxidative defence. As a corollary, the first line of thermal sensitivity is due to capacity limitations at a high level of organisational complexity, i.e. the integrated function of the oxygen delivery system, before individual, molecular or membrane functions become disturbed. These interpretations are in line with the more general consideration that, as a result of the high level of complexity of metazoan organisms compared with simple eukaryotes and then prokaryotes, thermal tolerance is reduced in metazoans. A similar sequence of sensitivities prevails within the metazoan organism, with the highest sensitivity at the organismic level and wider tolerance windows at lower levels of complexity. However, the situation is different in that loss in aerobic scope and progressive hypoxia at the organismic level define the onset of thermal limitation which then transfers to lower hierarchical levels and causes cellular and molecular disturbances. Oxygen limitation contributes to oxidative stress and, finally, denaturation or malfunction of molecular repair, e.g. during suspension of protein synthesis. The sequence of thermal tolerance limits turns into a hierarchy, ranging from systemic to cellular to molecular levels. (C) 2002 Published by Elsevier Science Inc.</t>
  </si>
  <si>
    <t>Pörtner, Hans-O./K-9429-2016; Pörtner, Hans-O./ISU-9397-2023</t>
  </si>
  <si>
    <t>Pörtner, Hans-O./0000-0001-6535-6575;</t>
  </si>
  <si>
    <t>PII S1095-6433(02)00045-4</t>
  </si>
  <si>
    <t>10.1016/S1095-6433(02)00045-4</t>
  </si>
  <si>
    <t>580LG</t>
  </si>
  <si>
    <t>WOS:000177235600007</t>
  </si>
  <si>
    <t>Steffensen, JF</t>
  </si>
  <si>
    <t>Metabolic cold adaptation of polar fish based on measurements of aerobic oxygen consumption: fact or artefact? Artefact!</t>
  </si>
  <si>
    <t>metabolic cold adaptation; metabolism; oxygen consumption; polar; Arctic; Antarctic; standard metabolic rate</t>
  </si>
  <si>
    <t>ANTARCTIC FISH</t>
  </si>
  <si>
    <t>Whether metabolic cold adaptation in polar fish, based on measurements of aerobic standard metabolic rate, is a fact or an artefact has been a dispute since Holeton asked the question in 1974. So far polar fish had been considered to be metabolically cold adapted because they were reported to have a considerably elevated resting oxygen consumption, or standard metabolic rate, compared with oxygen consumption values of tropical or temperate fish extrapolated to similar low polar temperatures. Recent experiments on arctic and Antarctic fish, however, do not show elevated resting aerobic oxygen consumption values, or standard metabolic rate, and hence it is concluded that that metabolic cold adaptation in the traditional sense is an artefact. (C) 2002 Elsevier Science Inc. All rights reserved.</t>
  </si>
  <si>
    <t>Univ Copenhagen, Marine Biol Lab, DK-3000 Helsingor, Denmark</t>
  </si>
  <si>
    <t>University of Copenhagen</t>
  </si>
  <si>
    <t>Univ Copenhagen, Marine Biol Lab, Strandpromenaden 5, DK-3000 Helsingor, Denmark.</t>
  </si>
  <si>
    <t>jfsteffensen@zi.ku.dk</t>
  </si>
  <si>
    <t>Steffensen, John Fleng/F-6778-2010</t>
  </si>
  <si>
    <t>Steffensen, John Fleng/0000-0002-4477-8039</t>
  </si>
  <si>
    <t>PII S1095-6433(02)00048-X</t>
  </si>
  <si>
    <t>10.1016/S1095-6433(02)00048-X</t>
  </si>
  <si>
    <t>WOS:000177235600010</t>
  </si>
  <si>
    <t>Estevez, MS; Abele, D; Puntarulo, S</t>
  </si>
  <si>
    <t>Lipid radical generation in polar (Laternula elliptica) and temperate (Mya arenaria) bivalves</t>
  </si>
  <si>
    <t>Antarctic mollusks; antioxidants; beta-carotene; digestive glands; iron; lipid radicals; temperate mollusks; alpha-tocopherol</t>
  </si>
  <si>
    <t>PHYSIOLOGICAL ECOLOGY; TOXICITY; IRON; PROOXIDANT; TOLERANCE; WATER</t>
  </si>
  <si>
    <t>Lipid peroxidation in Laternula elliptica was assessed by detecting lipid radicals by electronic paramagnetic resonance. The values were compared with data from the temperate mud clam Mya arenaria. Lipid radical content was higher in the Antarctic bivalve than in the temperate mud clam, even within the range of its habitat temperature. The rate of generation of lipid radicals was affected by the iron content in the samples. The iron content in individual samples of digestive glands in L. elliptica ranged from 3 to 6 nmol g(-1) fresh weight (fwt) and in M. arenaria from 0.6 to 2.7 nmol g(-1) fwt. Arrhenius plots, developed from the rates obtained in the presence of 25 muM iron, showed no significant differences between the activation energy calculated for digestive glands of L. elliptica and M. arenaria. The Fe3+ reduction rate in L. elliptica was higher than in M. arenaria (4.7+/-0.9 vs. 1.8+/-0.4 nmol mg(-1) protein min(-1), respectively). L. elliptica had a higher content of alpha-tocopherol and beta-carotene than M. arenaria. Our data suggest that increased lipid radical content in the membranes of cold-adapted organisms could be related to iron content. (C) 2002 Elsevier Science Inc. All rights reserved.</t>
  </si>
  <si>
    <t>Univ Buenos Aires, Sch Pharm &amp; Biochem, Phys Chem PRALIB, RA-1113 Buenos Aires, DF, Argentina; Alfred Wegener Inst Polar &amp; Marine Res, D-2850 Bremerhaven, Germany</t>
  </si>
  <si>
    <t>University of Buenos Aires; Helmholtz Association; Alfred Wegener Institute, Helmholtz Centre for Polar &amp; Marine Research</t>
  </si>
  <si>
    <t>Univ Buenos Aires, Sch Pharm &amp; Biochem, Phys Chem PRALIB, Junin 956, RA-1113 Buenos Aires, DF, Argentina.</t>
  </si>
  <si>
    <t>susanap@ffyb.uba.ar</t>
  </si>
  <si>
    <t>Abele, Doris/0000-0002-5766-5017</t>
  </si>
  <si>
    <t>PII S1096-4959(02)00089-1</t>
  </si>
  <si>
    <t>10.1016/S1096-4959(02)00089-1</t>
  </si>
  <si>
    <t>585JR</t>
  </si>
  <si>
    <t>WOS:000177522100005</t>
  </si>
  <si>
    <t>Phleger, CF; Nelson, MM; Mooney, BD; Nichols, PD</t>
  </si>
  <si>
    <t>Interannual and between species comparison of the lipids, fatty acids and sterols of Antarctic krill from the US AMLR Elephant Island survey area (vol 131, pg 733, 2002)</t>
  </si>
  <si>
    <t>San Diego State Univ, Dept Biol, San Diego, CA 92182 USA; Univ Tasmania, Dept Zool, Hobart, Tas 7001, Australia; CSIRO, Marine Res, Hobart, Tas 7001, Australia; Antarctic CRC, Hobart, Tas 7001, Australia</t>
  </si>
  <si>
    <t>California State University System; San Diego State University; University of Tasmania; Commonwealth Scientific &amp; Industrial Research Organisation (CSIRO)</t>
  </si>
  <si>
    <t>Phleger, CF (corresponding author), San Diego State Univ, Dept Biol, San Diego, CA 92182 USA.</t>
  </si>
  <si>
    <t>Nichols, Peter D/C-5128-2011</t>
  </si>
  <si>
    <t>PII S1096-4959(02)00086-6</t>
  </si>
  <si>
    <t>10.1016/S1096-4959(02)00086-6</t>
  </si>
  <si>
    <t>WOS:000177522100014</t>
  </si>
  <si>
    <t>Hinderer, J; Amalvict, M; Luck, B</t>
  </si>
  <si>
    <t>First French measurements of absolute gravity in the Antarctic (Terre Adelie) and Arctic (Spitsbergen) polar regions</t>
  </si>
  <si>
    <t>absolute gravimetry; Very Large Baseline Interferometry (VLBI) Antarctic and Arctic polar regions</t>
  </si>
  <si>
    <t>VERTICAL CRUSTAL MOTIONS; NEW-GENERATION; GRAVIMETERS; DORIS; TIDE</t>
  </si>
  <si>
    <t>First French measurements of absolute gravity in the Antarctic (Terre Adelie) and Arctic (Spitsbergen) polar regions. This study is devoted to the first French determinations of absolute gravity in the Antarctic (Dumont-d'Urville, Terre Adelie) and Arctic (Ny-Alesund, Spitsbergen) polar regions. The measurements in Dumont-d'Urville were performed in 2000 with the help of the FG5#206 absolute gravimeter belonging to the French geodetic community since beginning 1997; they show a strong noise that causes an uncertainty close to 11 muGal in the determination of the mean gravity value, which will be compared, to a new determination planned for 2005. The Ny-Alesund measurements show on the contrary a noise that, although very variable in time, leads to a gravity determination of better than 5 muGal., The comparison of our value with a previous one two years before suggests a gravity decrease of about 4 muGal which is related to the vertical uplift measured by Very Large Baseline Interferometry (VLBI) at the same site. However, the uncertainty does not allow discriminating between height-to-gravity conversion factors originating from different models. (C) 2002 Academie des sciences / Editions scientifiques et medicales Elsevier SAS.</t>
  </si>
  <si>
    <t>CNRS, UMR 7516, IPGS, EOST,ULP, F-67084 Strasbourg, France</t>
  </si>
  <si>
    <t>Centre National de la Recherche Scientifique (CNRS); CNRS - National Institute for Earth Sciences &amp; Astronomy (INSU); Universites de Strasbourg Etablissements Associes; Universite de Strasbourg</t>
  </si>
  <si>
    <t>Hinderer, J (corresponding author), CNRS, UMR 7516, IPGS, EOST,ULP, 5 Rue Rene Descartes, F-67084 Strasbourg, France.</t>
  </si>
  <si>
    <t>jhinderer@eost.u-strasbg.fr</t>
  </si>
  <si>
    <t>10.1016/S1631-0713(02)01817-5</t>
  </si>
  <si>
    <t>615UN</t>
  </si>
  <si>
    <t>WOS:000179265400003</t>
  </si>
  <si>
    <t>Cluzel, D; Meffre, S</t>
  </si>
  <si>
    <t>The Boghen terrane (New Caledonia, SW Pacific): a Jurassic accretionary complex. Preliminary U-Pb radiochronological data on detrital zircon</t>
  </si>
  <si>
    <t>SW Pacific; New Caledonia; Gondwana; active margin; accretionary complex; Jurassic; U-Pb detrital zircon</t>
  </si>
  <si>
    <t>SOUTHWEST PACIFIC; TECTONIC SIGNIFICANCE; NEW-ZEALAND; EVOLUTION; PROVENANCE; GONDWANA; MARGIN; ROCKS; AGES; ARC</t>
  </si>
  <si>
    <t>The Boghen Terrane (New Caledonia, SW Pacific): a Jurassic accretionary complex. Preliminary U-Pb radiochronological data on detrital zircon. Radiochronological dating of detrital zircon extracted from the Boghen terrane metasediments allows a Jurassic age to be assigned. This terrane was formerly considered as the pre-Permian basement of New Caledonia. Its sedimentological features, its Late Jurassic high-pressure metamorphism (ca 150 Ma) and its association with the arc-related volcano-sedimentary complex of the Central Chain Terrane indicate that the Boghen terrane was an accretionary complex formed during the Jurassic period along the East-Gondwana active margin. The age spectrum of detrital zircons is consistent with a derivation from the Permian-Mesozoic Southeast-Gondwana arc system and the Antarctic continent. (C) 2002 Academie des sciences / Editions scientitiques et medicales Elsevier SAS.</t>
  </si>
  <si>
    <t>Univ Orleans, CNRS, UMR 6113, Inst Sci Terre Orleans, F-45067 Orleans 2, France; Univ Tasmania, Sch Earth Sci, Hobart, Tas, Australia</t>
  </si>
  <si>
    <t>Centre National de la Recherche Scientifique (CNRS); Universite de Orleans; University of Tasmania</t>
  </si>
  <si>
    <t>Univ Orleans, CNRS, UMR 6113, Inst Sci Terre Orleans, BP 6759, F-45067 Orleans 2, France.</t>
  </si>
  <si>
    <t>dominique.cluzel@univ-orleans.fr</t>
  </si>
  <si>
    <t>Cluzel, Dominique/AGR-6850-2022; Meffre, Sebastien/J-8700-2014; Cluzel, Dominique/W-1410-2019; Meffre, Sebastien/O-6896-2019</t>
  </si>
  <si>
    <t>Cluzel, Dominique/0000-0002-4362-5516; Meffre, Sebastien/0000-0003-2741-6076; Meffre, Sebastien/0000-0003-2741-6076</t>
  </si>
  <si>
    <t>ISSY-LES-MOULINEAUX</t>
  </si>
  <si>
    <t>65 RUE CAMILLE DESMOULINS, CS50083, 92442 ISSY-LES-MOULINEAUX, FRANCE</t>
  </si>
  <si>
    <t>1778-7025</t>
  </si>
  <si>
    <t>10.1016/S1631-0713(02)01823-0</t>
  </si>
  <si>
    <t>WOS:000179265400009</t>
  </si>
  <si>
    <t>Pütz, K</t>
  </si>
  <si>
    <t>Spatial and temporal variability in the foraging areas of breeding King Penguins</t>
  </si>
  <si>
    <t>Aptenodytes patagonicus; Crozet; dispersal; Falkland Islands; global location sensors; Kerguelen; South Georgia</t>
  </si>
  <si>
    <t>APTENODYTES-PATAGONICUS; CROZET ARCHIPELAGO; DIVING BEHAVIOR; SOUTH GEORGIA; HEARD-ISLAND; POLAR FRONTS; WATER MASSES; FISHERIES; HABITAT; SUMMER</t>
  </si>
  <si>
    <t>King Penguins (Aptenodytes patagonicus) from breeding islands in the Indian Ocean (Crozet and Kerguelen Islands) and the Atlantic Ocean (South Georgia and Falkland Islands) were equipped with global location sensors to compare their foraging patterns during different times of the year. In summer, all birds investigated traveled toward the Antarctic Polar Front (APF), irrespective of whether they bred to the north (Crozet Islands, Falkland Islands), within (Kerguelen Islands) or to the south (South Georgia) of this hydrographic feature. Whereas most birds remained north of the APF and foraged in waters of the Antarctic Polar Frontal Zone, some penguins also traveled, or remained (South Georgia), south of the APF and foraged in Antarctic waters. It appeared that food resources in the vicinity of the APF were sufficiently predictable to warrant travel of several hundred km by King Penguins for foraging. Data collected on the winter distribution of King Penguins indicated at least two different foraging strategies. Birds from the oceanic Crozet Islands foraged beyond the APF in the Antarctic waters, whereas birds from the Falkland Islands relied also on the resources provided by the highly diverse and productive slope of the Patagonian Shelf. However, despite these differences, in both cases minimum distances of sometimes more than 10 000 km were covered. Further research on the foraging habitats of King Penguins over the entire breeding season and the temporal and spatial changes of oceanographic features is necessary to obtain a comprehensive picture on the variability in the foraging ranges of King Penguins.</t>
  </si>
  <si>
    <t>Antarctic Res Trust, Stanley, Falkland Isl, England</t>
  </si>
  <si>
    <t>Pütz, K (corresponding author), Gottfried Keller Str 13, D-53757 St Augustin, Germany.</t>
  </si>
  <si>
    <t>COOPER ORNITHOLOGICAL SOC</t>
  </si>
  <si>
    <t>ORNITHOLOGICAL SOC NORTH AMER PO BOX 1897, LAWRENCE, KS 66044-8897 USA</t>
  </si>
  <si>
    <t>10.1650/0010-5422(2002)104[0528:SATVIT]2.0.CO;2</t>
  </si>
  <si>
    <t>578XE</t>
  </si>
  <si>
    <t>WOS:000177145700006</t>
  </si>
  <si>
    <t>Vleck, CM; Van Hook, JA</t>
  </si>
  <si>
    <t>Absence of daily rhythms of prolactin and corticosterone in Adelie Penguins under continuous daylight</t>
  </si>
  <si>
    <t>Adelie Penguin; continuous daylight; corticosterone; diel rhythm; light intensity; prolactin; Pygoscelis adeliae</t>
  </si>
  <si>
    <t>STARLINGS STURNUS-VULGARIS; PLASMA MELATONIN; SEASONAL-VARIATION; CIRCADIAN-RHYTHMS; COLUMBA-LIVIA; STRESS; LIGHT; SECRETION; INTENSITY; LOCOMOTOR</t>
  </si>
  <si>
    <t>Plasma prolactin and corticosterone levels were measured in free-living Adelie Penguins (Pygoscelis adeliae) at Torgersen Island, Antarctica (64degreesS latitude), at 4-hr intervals throughout the day during early January 1997 and examined for evidence of a 24-hr rhythm. At this season and latitude, natural daylight is continuous. No significant change in the plasma level of either corticosterone or prolactin was found across the day in this population. In contrast, hormone levels in birds at lower latitudes typically fluctuate between night and day. Our data would not have revealed circadian rhythms within individuals even if they exist, because each bird was only sampled once. The lack of hormone rhythms in the population, however, suggests that changes in light intensity at this latitude in the Antarctic summer are not sufficient to entrain, or perhaps even to maintain, circadian rhythms of individuals.</t>
  </si>
  <si>
    <t>Iowa State Univ, Dept Zool &amp; Genet, Ames, IA 50011 USA</t>
  </si>
  <si>
    <t>Iowa State University</t>
  </si>
  <si>
    <t>Vleck, CM (corresponding author), Iowa State Univ, Dept Zool &amp; Genet, Ames, IA 50011 USA.</t>
  </si>
  <si>
    <t>10.1650/0010-5422(2002)104[0667:AODROP]2.0.CO;2</t>
  </si>
  <si>
    <t>WOS:000177145700021</t>
  </si>
  <si>
    <t>Phillips, RA</t>
  </si>
  <si>
    <t>Trios of Brown Skuas at Bird Island, South Georgia: Incidence and composition</t>
  </si>
  <si>
    <t>cooperative breeding; habitat saturation; polygyny; supranormal clutch</t>
  </si>
  <si>
    <t>SUCCESS; SIZE</t>
  </si>
  <si>
    <t>Cooperative breeding is unusual in seabirds, but recorded in varying proportions in Brown Skuas (Stercorarius [= Catharacta] lonnbergi). With no evidence for kin selection or delayed dispersal, nor for any reproductive advantage. the reason for its occurrence in skuas is uncertain. This study describe, the incidence, composition, and breeding characteristics of trios of Brown Skuas at Bird Island. South Georgia. Trios were recorded in nine seasons, including a polygynous and a polyandrous trio found in both 2000 2001 and 2001-2002. In some years, birds hatched three chicks from supranormal clutches, which is exceptional in skuas and jaegers, yet their overall performance was no better than monogamous pairs. I suggest that compared with closely related taxa, Brown Skuas have a slight behavioral or genetic predisposition that facilitates cooperative breeding. Cooperation conveys a minor advantage in territory acquisition, but none in terms of reproductive success (particularly for polygynous groups). and consequently has not proliferated at most colonies.</t>
  </si>
  <si>
    <t>British Antarctic Survey, Natl Environm Res Council, Cambridge CB3 0ET, England</t>
  </si>
  <si>
    <t>Phillips, RA (corresponding author), British Antarctic Survey, Natl Environm Res Council, Madingley Rd, Cambridge CB3 0ET, England.</t>
  </si>
  <si>
    <t>10.1650/0010-5422(2002)104[0694:TOBSAB]2.0.CO;2</t>
  </si>
  <si>
    <t>WOS:000177145700027</t>
  </si>
  <si>
    <t>Jung, S; Hoernes, S; Mezger, K</t>
  </si>
  <si>
    <t>Synorogenic melting of mafic lower crust: constraints from geochronology, petrology and Sr, Nd, Pb and O isotope geochemistry of quartz diorites (Damara orogen, Namibia)</t>
  </si>
  <si>
    <t>CONTRIBUTIONS TO MINERALOGY AND PETROLOGY</t>
  </si>
  <si>
    <t>CENTRAL SIERRA-NEVADA; CALC-ALKALINE MAGMAS; U-PB; PAN-AFRICAN; ANTARCTIC PENINSULA; LESSER ANTILLES; TRACE-ELEMENT; NEW-YORK; SM-ND; RB-SR</t>
  </si>
  <si>
    <t>Quartz diorites represent the earliest (ca. 540 Ma) and most primitive plutonic rocks in the Pan African Damara belt and they pre-date the main phase of high-T regional metamorphism. Two suites of synorogenic quartz diorites are unusual among Damaran intrusive rocks in their elemental and isotopic features. Comparison of the diorite compositions with melts from amphibolite-dehydration melting experiments points to a garnet-bearing meta-tholeiite, probably enriched in K2O, as a likely source rock. Partial melting processes generated mafic (ca. 50 wt% SiO2) quartz diorites in the deep crust at temperatures of between 1,000 and 1,100 degreesC, based on comparison with experimental results and similar temperature estimates based on P2O5 solubility in mafic rocks. Subsequently, the quartz diorites evolved by multistage, polybaric differentiation processes including fractional crystallization of mainly hornblende and plagioclase and assimilation of felsic basement gneisses. Although their chemical characteristics (high LILE, low HFSE) resemble those of other quartz diorites with calc-alkaline affinities, they differ in their enriched Sr (initial Sr-87/Sr-86: 0.70943-0.71285), Nd (initial epsilon Nd: -9.1 to -15.2) and O (delta(18)O : 6.8-8.1parts per thousand) isotope compositions. Neodymium model ages (T-DM) that range from 1.7 to 2.2 Ga and large variation in Pb-207/Pb-204 relative to Pb-206/Pb-204 indicates involvement of ancient crustal material. Lead (Pb-206/Pb-204: 17.08-17.23, Pb-207/Pb-204: 15.53-15.62, Pb-208/Pb-204: 37.71-38.16) isotope compositions are strongly retarded, indicating that the source underwent a pre-Pan-African U/Pb fractionation and U depletion. It is proposed that the quartz diorites originated by synorogenic high temperature melting of mafic lower crust. This contrasts with previous suggestions favouring an origin of these rocks by melting of an enriched mantle during Pan-African times with characteristics modified by subduction of oceanic crust and sedimentary rocks.</t>
  </si>
  <si>
    <t>Max Planck Inst Chem, Abt Geochem, D-55020 Mainz, Germany; Univ Bonn, Mineral Petrol Inst, D-53115 Bonn, Germany; Univ Munster, Inst Mineral, D-48149 Munster, Germany</t>
  </si>
  <si>
    <t>Max Planck Society; University of Bonn; University of Munster</t>
  </si>
  <si>
    <t>Jung, S (corresponding author), Max Planck Inst Chem, Abt Geochem, Postfach 3060, D-55020 Mainz, Germany.</t>
  </si>
  <si>
    <t>Mezger, Klaus/D-9502-2011</t>
  </si>
  <si>
    <t>Mezger, Klaus/0000-0002-2443-8539</t>
  </si>
  <si>
    <t>0010-7999</t>
  </si>
  <si>
    <t>CONTRIB MINERAL PETR</t>
  </si>
  <si>
    <t>Contrib. Mineral. Petrol.</t>
  </si>
  <si>
    <t>10.1007/s00410-002-0366-5</t>
  </si>
  <si>
    <t>588EM</t>
  </si>
  <si>
    <t>WOS:000177688500003</t>
  </si>
  <si>
    <t>Belicka, LL; Macdonald, RW; Harvey, HR</t>
  </si>
  <si>
    <t>Sources and transport of organic carbon to shelf, slope, and basin surface sediments of the Arctic Ocean</t>
  </si>
  <si>
    <t>lipids; biomarkers; fatty acids; sterols; sediments; Chukchi Sea; Beaufort Sea; Arctic Ocean</t>
  </si>
  <si>
    <t>ANTARCTIC SEA-ICE; FATTY-ACIDS; LIPID-COMPOSITION; LAPTEV SEA; PHAEOCYSTIS-POUCHETII; DIATOM COMMUNITIES; MATTER SOURCES; WATER COLUMN; MARINE; STEROLS</t>
  </si>
  <si>
    <t>Lipids in surface sediment transects across the Arctic Ocean were identified to define the sources of organic carbon and the transport of material in the ocean basin. Sterols representing diatoms (24-methylcholesta-5,24(28)-dien-3beta-ol, 24-methylcholesta-5,22-dien-3beta-ol) and dinoflagellates (4alpha,23,24-trimethylcholest-22-en-3beta-ol) together with algal polyunsaturated fatty acids (20:5, 22:6) demonstrated the importance of primary production to organic matter inputs on the Chukchi Shelf. The presence of terrestrial biomarkers including long-chain n-alkanes and mono- and dicarboxylic acids in shelf sediments indicated that while the fraction of terrestrial biomarkers was small compared to marine material, the transport of allochthonous material impacts carbon cycling on the shelf. Algal biomarkers were found in all surficial sediments from the central Arctic basins, demonstrating that some fraction of primary production reached bottom sediments despite ice cover and light limitation. Marine markers represented a small fraction of the total lipids in central basin sediments. This implies that the basins are less productive than shallow waters, significant degradation occurs before the organic matter reaches the sediment-water interface, and substantial amounts of vascular plant material are exported to the central Arctic. Circulation and topographical features, such as the Transpolar Drift and the Lomonosov Ridge, appear to have an important influence on the transport and focusing of terrestrial material in the Arctic Ocean basins. (C) 2002 Elsevier Science Ltd. All rights reserved.</t>
  </si>
  <si>
    <t>Univ Maryland, Chesapeake Biol Lab, Ctr Environm Sci, Solomons, MD 20688 USA; Inst Ocean Sci, Dept Fisheries &amp; Oceans, Sidney, BC V8L 4B2, Canada</t>
  </si>
  <si>
    <t>University System of Maryland; University of Maryland Center for Environmental Science; Fisheries &amp; Oceans Canada</t>
  </si>
  <si>
    <t>Univ Maryland, Chesapeake Biol Lab, Ctr Environm Sci, POB 38, Solomons, MD 20688 USA.</t>
  </si>
  <si>
    <t>harvey@cbl.umces.edu</t>
  </si>
  <si>
    <t>Macdonald, Robie W/A-7896-2012</t>
  </si>
  <si>
    <t>Macdonald, Robie W/0000-0002-1141-8520</t>
  </si>
  <si>
    <t>PII S0967-0637(02)00031-6</t>
  </si>
  <si>
    <t>10.1016/S0967-0637(02)00031-6</t>
  </si>
  <si>
    <t>594RJ</t>
  </si>
  <si>
    <t>WOS:000178064400009</t>
  </si>
  <si>
    <t>Barendse, J; Mercer, RD; Marshall, DJ; Chown, SL</t>
  </si>
  <si>
    <t>Habitat specificity of mites on sub-Antarctic Marion Island</t>
  </si>
  <si>
    <t>ENVIRONMENTAL ENTOMOLOGY</t>
  </si>
  <si>
    <t>Azorella selago; Acari; community structure; habitat specificity; glaciation</t>
  </si>
  <si>
    <t>SOUTHERN-OCEAN ISLANDS; ACARI; COMMUNITIES; COMPETITION; COLEOPTERA; LIFE; CURCULIONIDAE; ASSEMBLAGES; ARTHROPODS; STRATEGIES</t>
  </si>
  <si>
    <t>Studies on sub-Antarctic insects have suggested that species inhabiting the epilithic biotope (cryptogam-dominated habitats) exhibit higher habitat specificity than those species of the vegetated biotope (habitats dominated by vascular plants), and that this is partially the consequence of recolonization of the latter by migration from the former, which acted as glacial refugia during the Neogene. Here, the Acari is used to independently test this idea. To do so, 17 different habitats belonging to both the epilithic and vegetated biotopes were quantitatively sampled on sub-Antarctic Marion Island. These habitats included those on a rocky shore zone, in lowland vegetation, and in a mid-altitude fellfield. Thirty-nine morphospecies/taxa from 27 families were recorded, with a maximum abundance exceeding 300,000 individuals/m(-2). Mite assemblages differed significantly between all habitats, although the most pronounced differences were between the rocky shore, fellfield epilithic, and vegetated biotope habitats. Major differences between the rocky shore and fellfleld habitats indicated that a clear distinction must be drawn between these two groups of habitats, although both were previously considered part of the epilithic biotope. It seems likely that the mite fauna of the vegetated biotope was derived mostly from fellfield habitats following deglaciation. Habitat specificity, was also more pronounced in the epilithic (rocky shore and fellfield epilithic) species than in those from the vegetated biotope. Thus, the Acari provide support for the hypothesis of reduced habitat specificity in vegetated biotopes, possibly as a consequence of recent recolonization.</t>
  </si>
  <si>
    <t>Univ Pretoria, Dept Zool &amp; Entomol, ZA-0002 Pretoria, South Africa</t>
  </si>
  <si>
    <t>University of Pretoria</t>
  </si>
  <si>
    <t>Univ Pretoria, Dept Zool &amp; Entomol, ZA-0002 Pretoria, South Africa.</t>
  </si>
  <si>
    <t>Barendse, Jaco/F-7064-2012; Chown, Steven L/H-3347-2011; Chown, Steven/ABD-7646-2021</t>
  </si>
  <si>
    <t>Barendse, Jaco/0000-0003-2859-4501; Marshall, David/0000-0003-3771-5950</t>
  </si>
  <si>
    <t>0046-225X</t>
  </si>
  <si>
    <t>1938-2936</t>
  </si>
  <si>
    <t>ENVIRON ENTOMOL</t>
  </si>
  <si>
    <t>Environ. Entomol.</t>
  </si>
  <si>
    <t>10.1603/0046-225X-31.4.612</t>
  </si>
  <si>
    <t>586XB</t>
  </si>
  <si>
    <t>WOS:000177610500007</t>
  </si>
  <si>
    <t>Whyte, LG; Schultz, A; van Beilen, JB; Luz, AP; Pellizari, V; Labbé, D; Greer, CW</t>
  </si>
  <si>
    <t>Prevalence of alkane monooxygenase genes in Arctic and Antarctic hydrocarbon-contaminated and pristine soils</t>
  </si>
  <si>
    <t>FEMS MICROBIOLOGY ECOLOGY</t>
  </si>
  <si>
    <t>alkane monooxygenase; alkane degradation; polymerase chain reaction; colony hybridization; Arctic; Antarctica</t>
  </si>
  <si>
    <t>SP. STRAIN ADP1; LOW-TEMPERATURE; BIODEGRADATION; HYDROXYLASE; BIOREMEDIATION; DNA; DEGRADATION; EXTRACTION; SEQUENCES; BACTERIA</t>
  </si>
  <si>
    <t>The prevalence of four alkane monooxygenase genotypes (Pseudomonas putida GPo1, Pp alkB; Rhodococcus sp. strain Q15, Rh alkB1 and Rh alkB2; and Acinetobacter sp. strain ADP-1, Ac alkM) in hydrocarbon-contaminated and pristine soils from the Arctic and Antarctica were determined by both culture-independent (PCR hybridization analyses) and culture-dependent (colony hybridization analyses) molecular methods, using oligonucleotide primers and DNA probes specific for each of the alk genotypes. PCR hybridization of total soil community DNA detected the rhodococcal alkB genotypes in most of the contaminated (Rh alkB1, 18/20 soils; Rh alkB2, 13/20) and many pristine soils (Rh alkB1, 9/10 soils; Rh alkB2, 7/10), while Pp alkB was generally detected in the contaminated soils (15/20) but less often in pristine soils (5110). Ac alkM was rarely detected in the soils (1/30). The colony hybridization technique was used to determine the prevalence of each of the alk genes and determine their relative abundance in culturable cold-adapted (5degreesC) and mesophilic populations (37degreesC) from eight of the polar soils. The cold-adapted populations, in general, possessed relatively higher percentages of the Rh alkB genotypes (Rh alkB1, 1.9% (0.55); Rh alkB2, 2.47% (0.89)), followed by the Pp alkB (1.13% (0.50)), and then the Ac alkM (0.53% (0.36)). The Rh alkB1 genotype was clearly more prevalent in culturable cold-adapted bacteria (1.9% (0.55)) than in culturable mesophiles (0.41 (0.55)), suggesting that cold-adapted. bacteria are the predominant organisms possessing this genotype. Overall, these results indicated that (i) Acinetobacter spp. are not predominant members of polar alkane degradative microbial communities, (ii) Pseudomonas spp. may become enriched in polar soils following contamination events, and (iii) Rhodococeus spp. may be the predominant alkane-degradative bacteria in both pristine and contaminated polar soils. (C) 2002 Federation of European Microbiological Societies. Published by Elsevier Science B.V. All rights reserved.</t>
  </si>
  <si>
    <t>Natl Res Council Canada, Biotechnol Res Inst, Montreal, PQ H4P 2R2, Canada; ETH Honggerberg, Swiss Fed Inst Technol, Inst Biotechnol, CH-8093 Zurich, Switzerland; Univ Sao Paulo, Inst Biomed Sci, Sao Paulo, Brazil</t>
  </si>
  <si>
    <t>National Research Council Canada; Swiss Federal Institutes of Technology Domain; ETH Zurich; Universidade de Sao Paulo</t>
  </si>
  <si>
    <t>Natl Res Council Canada, Biotechnol Res Inst, 6100 Royalmount Ave, Montreal, PQ H4P 2R2, Canada.</t>
  </si>
  <si>
    <t>lyle.whyte@nrc.ca</t>
  </si>
  <si>
    <t>Pellizari, Vivian/J-9153-2012</t>
  </si>
  <si>
    <t>Pellizari, Vivian/0000-0003-2757-6352</t>
  </si>
  <si>
    <t>0168-6496</t>
  </si>
  <si>
    <t>1574-6941</t>
  </si>
  <si>
    <t>FEMS MICROBIOL ECOL</t>
  </si>
  <si>
    <t>FEMS Microbiol. Ecol.</t>
  </si>
  <si>
    <t>PII S0168-6496(02)00282-9</t>
  </si>
  <si>
    <t>10.1016/S0168-6496(02)00282-9</t>
  </si>
  <si>
    <t>586LG</t>
  </si>
  <si>
    <t>WOS:000177585000007</t>
  </si>
  <si>
    <t>Zhang, N; Yamashita, Y; Nozaki, Y</t>
  </si>
  <si>
    <t>Effect of protein hydrolysate from antarctic krill on the state of water and denaturation of lizard fish myofibrils during frozen storage</t>
  </si>
  <si>
    <t>FOOD SCIENCE AND TECHNOLOGY RESEARCH</t>
  </si>
  <si>
    <t>krill; myofibrils; ATPase; hydrolysate; freeze-denaturation; unfrozen water; frozen storage</t>
  </si>
  <si>
    <t>AMINO-ACIDS; DEHYDRATION</t>
  </si>
  <si>
    <t>Protein hydrolysates were prepared from Antarctic krill and two types of shrimp by enzymatic treatment using protease. Hydrolysates prepared from the krill were added to lizard fish myofibrils, and changes in the amount of unfrozen water in myofibrils during freezing were analyzed by differential scanning calorimetry. Ca-ATPase activity of myofibrils was measured concurrently and the results were compared with those using hydrolysates from shrimp. The amount of unfrozen water increased after addition of the hydrolysates and decreased moderately during frozen storage. When hydrolysates were not added to myofibrils, the amount of water rapidly decreased during frozen storage. The decrease in ATPase activity during frozen storage followed that of unfrozen water, indicating a close correlation between ATPase activity and the amount of unfrozen water. These results suggest that the denaturation of myofibrils may be suppressed by the addition of hydrolysates, since the hydrolysates appeared to increase the amount of unfrozen water.</t>
  </si>
  <si>
    <t>Nagasaki Univ, Grad Sch Marine Sci &amp; Engn, Bunkyo Ku, Nagasaki 8528521, Japan; Nagasaki Univ, Fac Fisheries, Bunkyo Ku, Nagasaki 8528521, Japan</t>
  </si>
  <si>
    <t>Nagasaki University; Nagasaki University</t>
  </si>
  <si>
    <t>Nozaki, Y (corresponding author), Nagasaki Univ, Grad Sch Marine Sci &amp; Engn, Bunkyo Ku, Nagasaki 8528521, Japan.</t>
  </si>
  <si>
    <t>JAPAN SOC FOOD SCI TECHNOL</t>
  </si>
  <si>
    <t>IBARAKI-KEN</t>
  </si>
  <si>
    <t>2-1-12 KANNONDAI TSUKUBA-SHI, IBARAKI-KEN, 305-8642, JAPAN</t>
  </si>
  <si>
    <t>1344-6606</t>
  </si>
  <si>
    <t>FOOD SCI TECHNOL RES</t>
  </si>
  <si>
    <t>Food Sci. Technol. Res.</t>
  </si>
  <si>
    <t>10.3136/fstr.8.200</t>
  </si>
  <si>
    <t>Food Science &amp; Technology</t>
  </si>
  <si>
    <t>591NW</t>
  </si>
  <si>
    <t>WOS:000177888000002</t>
  </si>
  <si>
    <t>Chapman, HJ; Bickle, MJ; Hunter, MA; Fowler, CMR; Nisbet, EG; Martin, A</t>
  </si>
  <si>
    <t>Banded iron formations as monitors of Archaean seawater composition</t>
  </si>
  <si>
    <t>GEOCHIMICA ET COSMOCHIMICA ACTA</t>
  </si>
  <si>
    <t>ZIMBABWE; BELT</t>
  </si>
  <si>
    <t>Univ Cambridge, Dept Earth Sci, Cambridge CB2 3EQ, England; British Antarctic Survey, Cambridge CB3 0ET, England; Univ London, Royal Holloway &amp; Bedford New Coll, Dept Geol, Egham TW20 0EX, Surrey, England</t>
  </si>
  <si>
    <t>University of Cambridge; UK Research &amp; Innovation (UKRI); Natural Environment Research Council (NERC); NERC British Antarctic Survey; University of London; Royal Holloway University London</t>
  </si>
  <si>
    <t>Bickle, Michael J/A-7316-2012; Fowler, C/B-1752-2012</t>
  </si>
  <si>
    <t>0016-7037</t>
  </si>
  <si>
    <t>GEOCHIM COSMOCHIM AC</t>
  </si>
  <si>
    <t>Geochim. Cosmochim. Acta</t>
  </si>
  <si>
    <t>15A</t>
  </si>
  <si>
    <t>A129</t>
  </si>
  <si>
    <t>583RX</t>
  </si>
  <si>
    <t>WOS:000177423400251</t>
  </si>
  <si>
    <t>Ebisawa, N; Okazaki, R; Nagao, K; Yamaguchi, A</t>
  </si>
  <si>
    <t>Halogen-derived noble gases in the Allende meteorite: A laser microprobe study</t>
  </si>
  <si>
    <t>Univ Tokyo, Grad Sch Sci, Earthquake Chem Lab, Tokyo, Japan; Natl Inst Polar Res, Antarctic Meteorite Res Ctr, Tokyo, Japan</t>
  </si>
  <si>
    <t>University of Tokyo; Research Organization of Information &amp; Systems (ROIS); National Institute of Polar Research (NIPR) - Japan</t>
  </si>
  <si>
    <t>A206</t>
  </si>
  <si>
    <t>WOS:000177423400399</t>
  </si>
  <si>
    <t>Fitzgerald, P; Baldwin, S; Farley, K; Hedges, L; O'Sullivan, P; Webb, L</t>
  </si>
  <si>
    <t>Constraining landscape evolution of the West Antarctic rift flank of southern Victoria Land</t>
  </si>
  <si>
    <t>Syracuse Univ, Dept Earth Sci, Syracuse, NY 13244 USA; CALTECH, Div Geol &amp; Planetary Sci, Pasadena, CA 91125 USA</t>
  </si>
  <si>
    <t>Syracuse University; California Institute of Technology</t>
  </si>
  <si>
    <t>Farley, Kenneth/AAE-7735-2020; Webb, Laura/F-8226-2011</t>
  </si>
  <si>
    <t>O'Sullivan, Paul/0000-0002-7247-5107; Webb, Laura/0000-0002-0597-5793</t>
  </si>
  <si>
    <t>A235</t>
  </si>
  <si>
    <t>WOS:000177423400457</t>
  </si>
  <si>
    <t>Fretzdorff, S; Garbe-Schönberg, CD; Fietzke, J; Livermore, RA; Stoffers, P</t>
  </si>
  <si>
    <t>High precision U-series isotope measurements of East Scotia back-arc basalts using single-collector sector-field icp-ms</t>
  </si>
  <si>
    <t>Univ Kiel, Inst Geosci, D-24118 Kiel, Germany; British Antarctic Survey, Cambridge CB3 0ET, England</t>
  </si>
  <si>
    <t>Garbe-Schönberg, Dieter/AAO-3827-2020; Livermore, Roy/M-1566-2019; Garbe-Schönberg, Dieter/E-2439-2016</t>
  </si>
  <si>
    <t>Garbe-Schönberg, Dieter/0000-0001-9006-9463</t>
  </si>
  <si>
    <t>A246</t>
  </si>
  <si>
    <t>WOS:000177423400479</t>
  </si>
  <si>
    <t>Glavin, DP; Matrajt, G; Bada, JL</t>
  </si>
  <si>
    <t>A search for extraterrestrial amino acids in Antarctic micrometeorites</t>
  </si>
  <si>
    <t>DELIVERY</t>
  </si>
  <si>
    <t>Max Planck Inst Chem, D-55128 Mainz, Germany; CNRS, CSNSM, F-91405 Orsay, France; Univ Calif San Diego, Scripps Inst Oceanog, La Jolla, CA 92093 USA</t>
  </si>
  <si>
    <t>Max Planck Society; Universite Paris Saclay; Centre National de la Recherche Scientifique (CNRS); University of California System; University of California San Diego; Scripps Institution of Oceanography</t>
  </si>
  <si>
    <t>glavin@mpch-mainz.mpg.de</t>
  </si>
  <si>
    <t>Glavin, Daniel P/D-6194-2012; Matrajt, Graciela/A-4812-2017</t>
  </si>
  <si>
    <t>Glavin, Daniel P/0000-0001-7779-7765;</t>
  </si>
  <si>
    <t>A277</t>
  </si>
  <si>
    <t>WOS:000177423400538</t>
  </si>
  <si>
    <t>Nagao, K; Okazaki, R</t>
  </si>
  <si>
    <t>Noble gases of Antarctic lunar meteorite Yamato 981031</t>
  </si>
  <si>
    <t>Univ Tokyo, Grad Sch Sci, Earthquake Chem Lab, Bunkyo Ku, Tokyo 1130033, Japan</t>
  </si>
  <si>
    <t>A544</t>
  </si>
  <si>
    <t>WOS:000177423401061</t>
  </si>
  <si>
    <t>Naraoka, H; Mita, H; Komiya, M; Shimoyama, A</t>
  </si>
  <si>
    <t>δD of individual PAHs from Murchison and an Antarctic carbonaceous chondrite</t>
  </si>
  <si>
    <t>Tokyo Metropolitan Univ, Dept Chem, Tokyo 158, Japan; Univ Tsukuba, Dept Chem, Tsukuba, Ibaraki 305, Japan; Natl Inst Adv Ind Sci &amp; Technol, Ibaraki, Japan</t>
  </si>
  <si>
    <t>Tokyo Metropolitan University; University of Tsukuba; National Institute of Advanced Industrial Science &amp; Technology (AIST)</t>
  </si>
  <si>
    <t>A546</t>
  </si>
  <si>
    <t>WOS:000177423401065</t>
  </si>
  <si>
    <t>Stone, JO; Balco, G; Sugden, DE; Caffee, MW; Siddoway, C; Cowdery, S; Sass, L</t>
  </si>
  <si>
    <t>103-106 year history of the West Antarctic ice sheet</t>
  </si>
  <si>
    <t>Univ Washington, Quaternary Res Ctr, Seattle, WA 98195 USA; Univ Edinburgh, Dept Geog, Edinburgh EH8 9XP, Midlothian, Scotland; Lawrence Livermore Natl Lab, Ctr Accelerator Mass Spectrometry, Livermore, CA 94550 USA; Colorado Coll, Dept Geol, Colorado Springs, CO 80903 USA</t>
  </si>
  <si>
    <t>University of Washington; University of Washington Seattle; University of Edinburgh; United States Department of Energy (DOE); Lawrence Livermore National Laboratory; Colorado College</t>
  </si>
  <si>
    <t>A745</t>
  </si>
  <si>
    <t>WOS:000177423401459</t>
  </si>
  <si>
    <t>Allibone, A; Wysoczanski, R</t>
  </si>
  <si>
    <t>Initiation of magmatism during the Cambrian-Ordovician Ross orogeny in southern Victoria Land, Antarctica</t>
  </si>
  <si>
    <t>Antarctica; dating; granitoid; orthogneiss; Ross orogeny; Victoria Land</t>
  </si>
  <si>
    <t>CENTRAL TRANSANTARCTIC MOUNTAINS; DRY VALLEYS AREA; KOETTLITZ GROUP; TAYLOR VALLEY; GLACIER AREA; PALEO-PACIFIC; MARGIN; GRANITOIDS; EVOLUTION; AUSTRALIA</t>
  </si>
  <si>
    <t>Sensitive high-resolution ion-microprobe (SHRIMP) U-Pb zircon dating of four gneissic granitoid intrusions, whose field relationships indicate that they are among the oldest plutonic rocks exposed in the Dry Valleys region of southern Victoria Land, Antarctica, gives ages between 531 10 and 502 9 Ma. Two samples from 1- to 3-km-scale gneissic plutons characterized by the distinctive enrichment in Sr and depletion in Y (DV1b suite) typical of adakitic igneous rocks yielded dates of 531 10 Ma and 516 10 Ma, respectively. Two other samples of gneissic, K-feldspar-megacrystic granodiorite intercalated with the Skelton Group country rocks that are characterized by more typical Cordilleran I-type chemistries (DV1a suite) yielded dates of 505 9 Ma and 502 9 Ma, respectively. A fifth sample from the large Bonney pluton (DV1a suite) emplaced at the peak of magmatic activity during the Ross orogeny, gave a date of 499 6 Ma. The new dates indicate that subduction and magmatism associated with the Ross orogeny had begun by ca. 530 Ma along this segment of the East Antarctic margin. They also require cessation by this time of the Neoproterozoic-Cambrian rifting that predated the Ross orogeny. None of the gneissic granitoid plutons was emplaced during a Neoproterozoic Beardmore orogeny, as has been suggested by some previous workers. Emplacement of small plutons characterized by an adakitic chemistry, punctuated by folding events, continued for 10-30 m.y. after ca. 530 Ma before major, more typical Cordilleran-style magmatism occurred between 505 and 499 Ma. Large volumes of calc-alkalic plutonic rocks in the Ross orogen south of the Dry Valleys region were emplaced 10-40 m.y. earlier than those in the Dry Valleys region, indicating marked variations in the timing of calc-alkalic granitoid magmatism parallel to the Ross orogen. The full extent and significance of these variations remain to be defined.</t>
  </si>
  <si>
    <t>James Cook Univ N Queensland, Sch Earth Sci, Townsville, Qld 4811, Australia; Smithsonian Inst, Dept Mineral Sci, Washington, DC 20560 USA; Australian Natl Univ, Res Sch Earth Sci, Canberra, ACT 0200, Australia</t>
  </si>
  <si>
    <t>James Cook University; Smithsonian Institution; Smithsonian National Museum of Natural History; Australian National University</t>
  </si>
  <si>
    <t>Allibone, A (corresponding author), James Cook Univ N Queensland, Sch Earth Sci, Townsville, Qld 4811, Australia.</t>
  </si>
  <si>
    <t>Wysoczanski, Richard/I-7730-2012; Wysoczanski, Richard/C-2930-2009</t>
  </si>
  <si>
    <t>ASSOC ENGINEERING GEOLOGISTS GEOLOGICAL SOCIETY AMER</t>
  </si>
  <si>
    <t>COLLEGE STN</t>
  </si>
  <si>
    <t>TEXAS A &amp; M UNIV, DEPT GEOLOGY &amp; GEOPHYSICS, COLLEGE STN, TX 77843-3115 USA</t>
  </si>
  <si>
    <t>10.1130/0016-7606(2002)114&lt;1007:IOMDTC&gt;2.0.CO;2</t>
  </si>
  <si>
    <t>583DA</t>
  </si>
  <si>
    <t>WOS:000177389400007</t>
  </si>
  <si>
    <t>van Beek, P; Reyes, JL; Paterne, M; Gersonde, R; van der Loeff, MR; Kuhn, G</t>
  </si>
  <si>
    <t>226Ra in barite:: Absolute dating of Holocene Southern Ocean sediments and reconstruction of sea-surface reservoir ages</t>
  </si>
  <si>
    <t>paleoclimatology; Holocene; marine sediments; dating; radium; barite; radiocarbon; Southern Ocean</t>
  </si>
  <si>
    <t>BOMB RADIOCARBON; CLIMATE-CHANGE; C-14 AGES; ATLANTIC; CALIBRATION; ICE</t>
  </si>
  <si>
    <t>Absolute dating of marine sediments is necessary to achieve reliable correlations of paleoclimate records. The Ra-226 decay in barite separated from a deep-sea core of the Southern Ocean was used to determine absolute ages for the Holocene Epoch. Comparison with C-14 ages measured on planktic foraminifers provides the first past sea-surface reservoir ages in the Antarctic zone of the Southern Ocean. Throughout the middle to late Holocene, our results indicate a reservoir age of ca. 1100 yr, comparable to modern estimates. A significantly higher reservoir age (ca. 1900 yr) is obtained for the early Holocene, which suggests a major change in the Southern Ocean circulation at that time.</t>
  </si>
  <si>
    <t>CNRS, Lab Sci Climat &amp; Environm, F-91198 Gif Sur Yvette, France; Alfred Wegener Inst Polar &amp; Marine Res, D-27515 Bremerhaven, Germany</t>
  </si>
  <si>
    <t>CEA; Centre National de la Recherche Scientifique (CNRS); Universite Paris Saclay; Helmholtz Association; Alfred Wegener Institute, Helmholtz Centre for Polar &amp; Marine Research</t>
  </si>
  <si>
    <t>CNRS, Lab Sci Climat &amp; Environm, F-91198 Gif Sur Yvette, France.</t>
  </si>
  <si>
    <t>pvanbeek@lsce.cnrs-gif.gr; rgersonde@awi-bremerhaven.de</t>
  </si>
  <si>
    <t>Rutgers van der Loeff, Michiel/0000-0003-1393-3742; van Beek, Pieter/0000-0002-3872-8916; Kuhn, Gerhard/0000-0001-6069-7485</t>
  </si>
  <si>
    <t>10.1130/0091-7613(2002)030&lt;0731:RIBADO&gt;2.0.CO;2</t>
  </si>
  <si>
    <t>583EQ</t>
  </si>
  <si>
    <t>WOS:000177394000016</t>
  </si>
  <si>
    <t>Choy, GL; McGarr, A</t>
  </si>
  <si>
    <t>Strike-slip earthquakes in the oceanic lithosphere: observations of exceptionally high apparent stress</t>
  </si>
  <si>
    <t>oceanic lithosphere; seismic energy; seismic stress; strike-slip; transform faults; triple junction</t>
  </si>
  <si>
    <t>RADIATED SEISMIC ENERGY; WAVE-FORM DATA; OBLIQUE SUBDUCTION; SOURCE PARAMETERS; SPREADING CENTER; CENTRAL JAPAN; DEFORMATION; MECHANISMS; TECTONICS; MODEL</t>
  </si>
  <si>
    <t>The radiated energies, E-S , and seismic moments, M (0), for 942 globally distributed earthquakes that occurred between 1987 to 1998 are examined to find the earthquakes with the highest apparent stresses (tau(a) =muE(S) /M-0, where mu is the modulus of rigidity). The globally averaged tau(a) for shallow earthquakes in all tectonic environments and seismic regions is 0.3 MPa. However, the subset of 49 earthquakes with the highest apparent stresses (tau(a) greater than about 5.0 MPa) is dominated almost exclusively by strike-slip earthquakes that occur in oceanic environments. These earthquakes are all located in the depth range 7-29 km in the upper mantle of the young oceanic lithosphere. Many of these events occur near plate-boundary triple junctions where there appear to be high rates of intraplate deformation. Indeed, the small rapidly deforming Gorda Plate accounts for 10 of the 49 high-tau(a) events. The depth distribution of tau(a), which shows peak values somewhat greater than 25 MPa in the depth range 20-25 km, suggests that upper bounds on this parameter are a result of the strength of the oceanic lithosphere. A recently proposed envelope for apparent stress, derived by taking 6 per cent of the strength inferred from laboratory experiments for young (less than 30 Ma) deforming oceanic lithosphere, agrees well with the upper-bound envelope of apparent stresses over the depth range 5-30 km. The corresponding depth-dependent shear strength for young oceanic lithosphere attains a peak value of about 575 MPa at a depth of 21 km and then diminishes rapidly as the depth increases. In addition to their high apparent stresses, which suggest that the strength of the young oceanic lithosphere is highest in the depth range 10-30 km, our set of high-tau(a) earthquakes show other features that constrain the nature of the forces that cause interplate motion. First, our set of events is divided roughly equally between intraplate and transform faulting with similar depth distributions of tau(a) for the two types. Secondly, many of the intraplate events have focal mechanisms with the T -axes that are normal to the nearest ridge crest or subduction zone and P -axes that are normal to the proximate transform fault. These observations suggest that forces associated with the reorganization of plate boundaries play an important role in causing high-tau(a) earthquakes inside oceanic plates. Extant transform boundaries may be misaligned with current plate motion. To accommodate current plate motion, the pre-existing plate boundaries would have to be subjected to large horizontal transform push forces. A notable example of this is the triple junction near which the second large aftershock of the 1992 April Cape Mendocino, California, sequence occurred. Alternatively, subduction zone resistance may be enhanced by the collision of a buoyant lithosphere, a process that also markedly increases the horizontal stress. A notable example of this is the Aleutian Trench near which large events occurred in the Gulf of Alaska in late 1987 and the 1998 March Balleny Sea M = 8.2 earthquake within the Antarctic Plate.</t>
  </si>
  <si>
    <t>US Geol Survey, Denver, CO 80215 USA; US Geol Survey, Menlo Pk, CA 94025 USA</t>
  </si>
  <si>
    <t>United States Department of the Interior; United States Geological Survey; United States Department of the Interior; United States Geological Survey</t>
  </si>
  <si>
    <t>US Geol Survey, Box 25046, Denver, CO 80215 USA.</t>
  </si>
  <si>
    <t>choy@usgs.gov</t>
  </si>
  <si>
    <t>10.1046/j.1365-246X.2002.01720.x</t>
  </si>
  <si>
    <t>574ZU</t>
  </si>
  <si>
    <t>WOS:000176921500012</t>
  </si>
  <si>
    <t>Kim, HR; von Frese, RRB; Kim, JW; Taylor, PT; Neubert, T</t>
  </si>
  <si>
    <t>Orsted verifies regional magnetic anomalies of the Antarctic lithosphere</t>
  </si>
  <si>
    <t>FIELD</t>
  </si>
  <si>
    <t>[1] Initial magnetic measurements from the Orsted satellite reveal lithospheric anomalies over the Antarctic that are similar to those obtained by Magsat. Accordingly, lithospheric anomalies can be extracted from the Orsted data, despite the much greater operational altitude of Orsted (650- 865 km) relative to Magsat (350- 550 km). Furthermore, these correspondences confirm the lithospheric origins for the resulting small- amplitude anomalies in the satellite data. In studies of the Antarctic lithosphere, the Magsat data particularly were limited by the large relative uncertainties of their lithospheric components. These uncertainties occurred because the short nearly seven- month mission more than 20 years ago collected data over austral high summer and early fall when the contaminating large-amplitude external field effects were at a maximum. Therefore, the recent and more numerous Orsted measurements greatly facilitate our efforts to separate effectively the core, lithospheric, and external field components for enhanced studies of the Antarctic lithosphere.</t>
  </si>
  <si>
    <t>Ohio State Univ, Dept Geol Sci, Columbus, OH 43210 USA; Ohio State Univ, Byrd Polar Res Ctr, Columbus, OH 43210 USA; Sejong Univ, Dept Earth Sci, Seoul 143747, South Korea; NASA, Goddard Space Flight Ctr, Geodynam Branch, Greenbelt, MD 20771 USA; Danish Meteorol Inst, Solar Terr Phys Div, Copenhagen, Denmark</t>
  </si>
  <si>
    <t>University System of Ohio; Ohio State University; University System of Ohio; Ohio State University; Sejong University; National Aeronautics &amp; Space Administration (NASA); NASA Goddard Space Flight Center; Danish Meteorological Institute DMI</t>
  </si>
  <si>
    <t>Ohio State Univ, Dept Geol Sci, Columbus, OH 43210 USA.</t>
  </si>
  <si>
    <t>kim@geology.ohio-state.edu; vonfrese@osu.edu; jwkim@sejong.ac.kr; ptaylor@ltpmail.gsfc.nasa.gov; neubert@dmi.dk</t>
  </si>
  <si>
    <t>Taylor, Patrick T/0000-0002-1212-9384; Kim, Hyung Rae/0000-0002-6576-9457; Neubert, Torsten/0000-0001-7851-7788</t>
  </si>
  <si>
    <t>AUG 1</t>
  </si>
  <si>
    <t>10.1029/2001GL013662</t>
  </si>
  <si>
    <t>610MX</t>
  </si>
  <si>
    <t>WOS:000178964900030</t>
  </si>
  <si>
    <t>Webb, P</t>
  </si>
  <si>
    <t>A clarification on Antarctic geography</t>
  </si>
  <si>
    <t>GEOTIMES</t>
  </si>
  <si>
    <t>Ohio State Univ, Columbus, OH 43210 USA</t>
  </si>
  <si>
    <t>Webb, P (corresponding author), Ohio State Univ, Columbus, OH 43210 USA.</t>
  </si>
  <si>
    <t>AMER GEOLOGICAL INST</t>
  </si>
  <si>
    <t>ALEXANDRIA</t>
  </si>
  <si>
    <t>4220 KING ST, ALEXANDRIA, VA 22302-1507 USA</t>
  </si>
  <si>
    <t>0016-8556</t>
  </si>
  <si>
    <t>Geotimes</t>
  </si>
  <si>
    <t>583EP</t>
  </si>
  <si>
    <t>WOS:000177393900004</t>
  </si>
  <si>
    <t>Monani, S</t>
  </si>
  <si>
    <t>Grounding Antarctic melting</t>
  </si>
  <si>
    <t>WOS:000177393900009</t>
  </si>
  <si>
    <t>Kotov, AA; Paggi, JC; Elias-Gutierrez, M</t>
  </si>
  <si>
    <t>Redescription of Ilyocryptus brevidentatus Ekman, 1905 (Anomopoda, Cladocera, Branchiopoda)</t>
  </si>
  <si>
    <t>HYDROBIOLOGIA</t>
  </si>
  <si>
    <t>Cladocera; Anomopoda; Ilyocryptus; systematics; redescription; South America; Subantarctic islands</t>
  </si>
  <si>
    <t>SUB-ANTARCTIC ISLANDS; CHYDORIDAE; ARGENTINA</t>
  </si>
  <si>
    <t>The morphology of Ilyocryptus brevidentatus Ekman, 1905 is redescribed based on the syntypes from Falklands and South Georgia, and additional material from Signy Island and southern portion of Chile and Argentina. It is not possible to select a lectotype, and specify the exact type locality, because Ekman, or a subsequent investigator, mixed all specimens from all localities in one tube. A series of unique traits in the thoracic limbs of this species was revealed. A preliminary key for the discrimination of all adequately studied species of Ilyocryptus based exclusively on characters of their limbs is proposed. All Australian records of I. brevidentatus seem to apply to other species, superficially similar to it.</t>
  </si>
  <si>
    <t>Colegio Frontera Sur, Chetumal 77000, Quintana Roo, Mexico; AN Severtsov Inst Ecol &amp; Evolut, Moscow 117071, Russia; Inst Nacl Limnol, RA-3016 Santo Tome, S Fe, Argentina</t>
  </si>
  <si>
    <t>El Colegio de la Frontera Sur (ECOSUR); Russian Academy of Sciences; Saratov Scientific Center of the Russian Academy of Sciences; Severtsov Institute of Ecology &amp; Evolution</t>
  </si>
  <si>
    <t>Colegio Frontera Sur, Km 2 Carretera Chetumal Bacalar,Zona Ind 2, Chetumal 77000, Quintana Roo, Mexico.</t>
  </si>
  <si>
    <t>akotov@ecosur-qroo.mx; depaggi@arnet.com.ar; eliasgm@ecosur-qroo.mx</t>
  </si>
  <si>
    <t>Kotov, Alexey A./B-1549-2010; Elias-Gutierrez, Manuel/A-8952-2013</t>
  </si>
  <si>
    <t>Kotov, Alexey A./0000-0002-8863-6438; Elias-Gutierrez, Manuel/0000-0003-2562-4584</t>
  </si>
  <si>
    <t>0018-8158</t>
  </si>
  <si>
    <t>1573-5117</t>
  </si>
  <si>
    <t>Hydrobiologia</t>
  </si>
  <si>
    <t>10.1023/A:1021210414160</t>
  </si>
  <si>
    <t>617XZ</t>
  </si>
  <si>
    <t>WOS:000179387400001</t>
  </si>
  <si>
    <t>Bradshaw, CJA; Hindell, MA; Michael, KJ; Sumner, MD</t>
  </si>
  <si>
    <t>The optimal spatial scale for the analysis of elephant seal foraging as determined by geo-location in relation to sea surface temperatures</t>
  </si>
  <si>
    <t>southern elephant seal; spatial scale; resolution; sea surface temperature; MCSST; correlation; geo-location; Macquarie Island</t>
  </si>
  <si>
    <t>ANTARCTIC FUR SEALS; CROSS-SPECTRUM ANALYSIS; SOUTHERN-OCEAN; MIROUNGA-LEONINA; WATER TEMPERATURE; DIVING BEHAVIOR; FRONTAL ZONES; ICE EXTENT; MOVEMENTS; COLOR</t>
  </si>
  <si>
    <t>There is increasing emphasis put on the correlation of marine predator behaviour and foraging performance with the bio-physical properties of the ocean environment. However, spatial error in the estimated position of animals and the accuracy of interpolated, physical oceanographic data require the assessment of the appropriate spatial resolution at which to assess relationships. We recorded surface temperature data from 17 archival tags attached to female southern elephant seals at Macquarie Island during the post-lactation foraging trip of 1999-2000. Archival-tag temperature data were associated with twice-daily, at-sea positions derived from light levels (i.e., geo-location). We compared these surface temperatures and their associated spatial error to satellite-derived Multi-Channel Sea Surface Temperature (MCSST) data to assess at what spatial scale the agreement between the two data sources was highest. We considered scales from 50 x 50 km through to 500 x 500 km grid cells, at 50 x 50 km increments. Averaged over all individuals and assessed in fortnightly time periods, we found a peak in agreement between the mean surface temperature recorded by the archival tags and the MCSST data at 350 x 350 km grid cells (122 500 km(2)). We used logistic regression model selection to examine the effects of spatial scale, time period, latitude, longitude, and MCSST variance per grid cell on the agreement between the data sources. The most parsimonious model included all main effects, and a significant interaction between time period and latitude. There was also a trend for reduced agreement at higher latitudes, and there was a peak in temperature agreement in the general region around 180degrees longitude. There were two peaks in agreement during the early and latter parts of the post-lactation foraging trip, resulting probably from the more northerly latitudes travelled during these times and the improved MCSST coverage in the summer months. The 350 x 350 km scale recommended by this study should be appropriate for the study of coarse-scale associations between marine predators located using geo-location and physical oceanographic data during summer. However, the approach remains valid for predators located at sea using other positioning methods. (C) 2002 International Council for the Exploration of the Sea. Published by Elsevier Science Ltd. All rights reserved.</t>
  </si>
  <si>
    <t>Univ Tasmania, Antart Wildlife Res Unit, Sch Zool, Hobart, Tas 7001, Australia; Univ Tasmania, Antarct Cooperat Res Ctr, Hobart, Tas 7001, Australia; Univ Tasmania, Inst Antarctic &amp; So Ocean Studies, Hobart, Tas 7001, Australia</t>
  </si>
  <si>
    <t>University of Tasmania; University of Tasmania; University of Tasmania</t>
  </si>
  <si>
    <t>Bradshaw, CJA (corresponding author), Univ Tasmania, Antart Wildlife Res Unit, Sch Zool, Hobart, Tas 7001, Australia.</t>
  </si>
  <si>
    <t>corey.bradshaw@utas.edu.au</t>
  </si>
  <si>
    <t>Hindell, Mark A/C-8368-2013; Hindell, Mark A/K-1131-2013; Sumner, Michael D/J-3478-2013; Bradshaw, Corey J. A./A-1311-2008; Michael, Kelvin/J-7217-2014</t>
  </si>
  <si>
    <t>Bradshaw, Corey J. A./0000-0002-5328-7741; Sumner, Michael/0000-0002-2471-7511; Michael, Kelvin/0000-0002-5427-7393; Hindell, Mark/0000-0002-7823-7185</t>
  </si>
  <si>
    <t>1095-9289</t>
  </si>
  <si>
    <t>10.1006/jmsc.2002.1246</t>
  </si>
  <si>
    <t>599MJ</t>
  </si>
  <si>
    <t>WOS:000178338300010</t>
  </si>
  <si>
    <t>Francis, JL; Gleeson, M; Lugg, DJ; Clancy, RL; Ayton, JM; Donovan, K; McConnell, CA; Tingate, TR; Thorpe, B; Watson, A</t>
  </si>
  <si>
    <t>Trends in mucosal immunity in Antarctica during six Australian winter expeditions</t>
  </si>
  <si>
    <t>IMMUNOLOGY AND CELL BIOLOGY</t>
  </si>
  <si>
    <t>albumin; Antarctica; immunoglobulin A; immunoglobulin G; immunoglobulin M; mucosal immunity; saliva; stress</t>
  </si>
  <si>
    <t>CELL-MEDIATED-IMMUNITY; ELITE SWIMMERS; SECRETORY IGA; STRESS; RESPONSES; SYSTEM; RISK</t>
  </si>
  <si>
    <t>The mucosal immune status of Australian Antarctic personnel was monitored during six wintering expeditions at two Australian Antarctic Research Stations, Casey in 1992, 1993, 1994, and Mawson in 1992, 1995, 1996. Salivary immunoglobulin and albumin levels were examined for differences between stations and expeditions, and for monthly changes over the expedition year. Salivary IgA and IgM concentrations were on average higher for the 1993 Casey expeditioners, and all salivary protein levels were lower for 1996 Mawson expeditioners compared to levels of the other expeditions. The change in salivary IgA and IgM concentrations over the 1-year period revealed a consistent pattern between expeditions. Salivary IgA levels were lower in March, April and May compared to other months of the year (P = 0.0002). Salivary IgM levels were lowest in the first 4 months of the year, with peak levels in June and July (P &lt; 0.0001). There were no changes in salivary IgG and albumin concentrations over the expedition year. Though the cause of the changes in salivary IgA and IgM levels over the year is unknown, the changes could reflect alterations in mucosal immunity in response to stressors associated with isolation.</t>
  </si>
  <si>
    <t>Univ Newcastle, Fac Hlth, Immunol &amp; Microbiol Sch Biomed Sci, Callaghan, NSW, Australia; John Hunter Hosp, Hunter Area Pathol Serv, Dept Immunol, New Lambton, NSW, Australia; Australian Antarctic Div, Polar Med Branch, Kingston, Tas, Australia</t>
  </si>
  <si>
    <t>University of Newcastle; John Hunter Hospital; Australian Antarctic Division</t>
  </si>
  <si>
    <t>Francis, JL (corresponding author), Hunter Area Pathol Serv, Locked Bag 1,Hunter Reg Mail Ctr, New Lambton, NSW 2310, Australia.</t>
  </si>
  <si>
    <t>Ayton, Jeffrey/0000-0003-4012-6719</t>
  </si>
  <si>
    <t>BLACKWELL PUBLISHING ASIA</t>
  </si>
  <si>
    <t>CARLTON</t>
  </si>
  <si>
    <t>54 UNIVERSITY ST, P O BOX 378, CARLTON, VICTORIA 3053, AUSTRALIA</t>
  </si>
  <si>
    <t>0818-9641</t>
  </si>
  <si>
    <t>IMMUNOL CELL BIOL</t>
  </si>
  <si>
    <t>Immunol. Cell Biol.</t>
  </si>
  <si>
    <t>10.1046/j.1440-1711.2002.01104.x</t>
  </si>
  <si>
    <t>Cell Biology; Immunology</t>
  </si>
  <si>
    <t>577YQ</t>
  </si>
  <si>
    <t>WOS:000177091000011</t>
  </si>
  <si>
    <t>The spatial and temporal variability of the surface mass balance in Antarctica: Results from a regional atmospheric climate model</t>
  </si>
  <si>
    <t>Antarctica surface mass balance; precipitation; regional atmospheric model; model evaluation; climate variability; ice core analysis</t>
  </si>
  <si>
    <t>DRONNING-MAUD-LAND; SNOW ACCUMULATION; ICE SHEETS; PRECIPITATION; GREENLAND; LATITUDES; FORECASTS; SIGNALS; CORES; HEAT</t>
  </si>
  <si>
    <t>A 14 year integration with a regional atmospheric model (RACMO) is used to obtain detailed information on the Antarctic Surface mass balance and to understand the mechanisms that are responsible for the spatial and temporal distribution Of the Surface mass balance. The model (Deltax = 55 km) uses the parameterizations of the physical processes from the ECHAM4 general circulation model and is driven from the lateral boundaries by the 15 year re-analyses of the European Centre for Medium-range Weather Forecasts (ERA-15). Sea surface temperature and sea ice extent are prescribed from observations. The model is evaluated with in situ measurements of surface pressure, 2 in temperature, and surface mass balance. Generally, good agreement is found between model output and measurements. although in the interior of the ice sheet the temperatures are slightly too high in summer. The 14 year mean surface mass balance averaged over the grounded Antarctic ice &lt;(B) over bar &gt; is 156 mm water equivalent per year. A statistical relation between precipitation and topographical parameters is derived from model output. Half of the spatial variance in precipitation can be explained by a relation between precipitation and distance to the coast. Locally, the direction of the atmospheric flow is important in Ellsworth Land and Wilkes Land the surface mass balance is larger than expected on the basis of topography alone, because of now directed inland. The year-to-year variability in &lt;(B) over bar &gt; is similar to the value found in ERA-15 (standard deviation of annual mean values is 6 to 7% of the 14 year mean) and is determined by the atmospheric circulation and not by variations in temperature or humidity, In the interior of the ice sheet, seasonality of precipitation is mainly determined by temperature, but, near the coast, the dynamics of the now are important. For example, in Dronning Maud Land the precipitation is highest in autumn, when the upslope component of the wind vector at 500 hPa is largest. Year-to-year variations in seasonality of precipitation are large and might affect proxies for meteorological variables in ice cores. Copyright (C) 2002 Royal Meteorological Society.</t>
  </si>
  <si>
    <t>Royal Netherlands Meteorol Inst, De Bilt, Netherlands; Inst Marine &amp; Atmosphere Res, Utrecht, Netherlands</t>
  </si>
  <si>
    <t>Royal Netherlands Meteorological Institute</t>
  </si>
  <si>
    <t>van Lipzig, NPM (corresponding author), British Antarctic Survey, High Cross,Madingley Rd, Cambridge CB3 0ET, England.</t>
  </si>
  <si>
    <t>Oerlemans, Johannes/G-3802-2011; van Lipzig, Nicole/ABF-2964-2021</t>
  </si>
  <si>
    <t>van Lipzig, Nicole/0000-0003-2899-4046</t>
  </si>
  <si>
    <t>10.1002/joc.798</t>
  </si>
  <si>
    <t>590FX</t>
  </si>
  <si>
    <t>WOS:000177808800004</t>
  </si>
  <si>
    <t>Trukhin, VI; Zhilyaeva, VA; Shreider, AA</t>
  </si>
  <si>
    <t>Geomagnetism of the Bouvet triple junction</t>
  </si>
  <si>
    <t>MID-ATLANTIC RIDGE; SOUTH-ATLANTIC; ABSOLUTE MOTION; EVOLUTION; MAGNETIZATION; ANOMALIES; MAGNETISM; BASALTS; FLOOR; AREA</t>
  </si>
  <si>
    <t>A combined study of the anomalous magnetic field and magnetic properties of seafloor rocks in the Bouvet triple junction area provided new information that substantially complements and improves the current ideas about the magnetized layer in the area. Three-dimensional modeling of the reversely magnetized layer enabled the reconstruction of the detailed seafloor geochronology and demonstrated that the behavior of the junction of the American, African, and Antarctic plates over the last millions of years was unstable. Experimental values of the natural remanent magnetization I-n obtained from seafloor cores are 2 to 6 times higher than model values I-nm, indicating that the magnetized layer in this region is thinner compared to the model used (0.5 km). Magnetic properties of seafloor basalts in the region are shown to depend on their age in conformity with the development of the oxidation process in titanomagnetites controlling their magnetic properties. The self-reversal of magnetization components in the rocks was possible at some stages of this process. Magnetic data revealed seafloor areas of higher in situ stresses (the Bouvet transform). A magnetic method is proposed for determining these stresses. The magnetic aftereffect resulting in the acquisition of a secondary (viscous) remanence was studied. It is shown that the viscous magnetization contribution can be significant at certain stages of the titanomaghemitization. Depths of sources supplying basaltic melts are estimated.</t>
  </si>
  <si>
    <t>Moscow MV Lomonosov State Univ, Fac Phys, Moscow, Russia; Russian Acad Sci, PP Shirshov Oceanol Inst, Moscow, Russia</t>
  </si>
  <si>
    <t>Moscow MV Lomonosov State Univ, Fac Phys, Moscow, Russia.</t>
  </si>
  <si>
    <t>1555-6506</t>
  </si>
  <si>
    <t>588QH</t>
  </si>
  <si>
    <t>WOS:000177711800002</t>
  </si>
  <si>
    <t>Thiel, M</t>
  </si>
  <si>
    <t>The zoogeography of algae-associated peracarids along the Pacific coast of Chile</t>
  </si>
  <si>
    <t>biogeography; peracarida; epifauna; macroalgae; exposed shore; intertidal zone; Biogeografia; Peracarida; Epifauna; Macroalga; costa expuesta; zona intermareal</t>
  </si>
  <si>
    <t>C. AGARDH RAFTS; EL-NINO; BENTHIC MACROINVERTEBRATES; SOUTHEASTERN PACIFIC; INVERTEBRATES; CALIFORNIA; PATTERNS; POPULATIONS; AMPHIPODA; TRANSPORT</t>
  </si>
  <si>
    <t>Aim To describe the zoogeography of the algae-associated peracarid crustaceans from exposed rocky shores along the SE-Pacific. Location Chile, 18degrees S to 42degrees S. Methods A standardized sampling programme was used at all sites. Samples of macroalgae were taken at twenty sites distributed along the entire study area. Quantitative samples (n = 6 replicates of 8 cm(-2) surface area each) of calcareous and non-calcareous red algae were taken in the low intertidal, preserved immediately in 4%-formalin and washed over a 0.2-mm mesh before sorting. All peracarid individuals were sorted, identified to the species level and then categorized in separate functional groups according to their feeding habits. Graphical representations of species replacement within each functional group along the latitudinal gradient are provided. A classification analysis employing the unweighted paired group method using arithmetic average (UPGMA) was conducted in order to reveal the main zoogeographical zones. Results A total of forty epifaunal peracarid species was found. A gradual replacement of species within different functional groups (grazing and suspension-feeding species) was observed in the central region (c. 26degrees S-37degrees S). In this central region, species with northern and those with southern distribution overlapped, while other species were only found here, resulting in high species richness. The number of species/site/algal species in the northern (north of c. 25.5degrees S) and southern region (south of c. 38.5degrees S) was considerably lower than in the central region. The distribution of most grazing peracarids showed a more continuous pattern than that of suspension-feeding amphipods. The distribution of the remaining species (predators, scavengers, deposit-feeders, unknowns) was scattered along the examined sites. The cluster analysis for the epifaunal peracarid assemblage confirmed the separation of a northern and southern zone connected by a central (transitional) zone between c. 26degrees S and c. 37degrees S. Similar zonation patterns have been found by most other studies on the zoogeography of the Chilean coast, although little agreement exists about the exact limits of this transitional zone. It is discussed that the distribution limits of algae-associated peracarids (and other macroinvertebrates) - particularly in the transitional zone - may show interannual variations as a result of varying oceanographic conditions. The large affinity of the algae-associated peracarid fauna from the central and southern Chilean coast to those of other regions indicates that dispersal may be facilitated by rafting with floating algae transported in the Antarctic Circumpolar Current. Main conclusions The zoogeographical analysis of algae-associated peracarids confirms the existence of a northern and a southern zone connected by an extensive transitional zone. General biology, habitat use and the abundant presence of dispersal vectors such as floating macroalgae may affect the zoogeography of species living in transitional zones with strong interannual variations in current regimes. In these areas, species associated with substrata of high dispersal potential may show different distribution patterns than species inhabiting other substrata.</t>
  </si>
  <si>
    <t>Univ Catolica Norte, Fac Ciencias Mar, Coquimbo, Chile</t>
  </si>
  <si>
    <t>Universidad Catolica del Norte</t>
  </si>
  <si>
    <t>Univ Catolica Norte, Fac Ciencias Mar, Larrondo 1281, Coquimbo, Chile.</t>
  </si>
  <si>
    <t>thiel@ucn.cl</t>
  </si>
  <si>
    <t>1365-2699</t>
  </si>
  <si>
    <t>10.1046/j.1365-2699.2002.00745.x</t>
  </si>
  <si>
    <t>585JU</t>
  </si>
  <si>
    <t>WOS:000177522300003</t>
  </si>
  <si>
    <t>Moore, GWK; Renfrew, IA</t>
  </si>
  <si>
    <t>An assessment of the surface turbulent heat fluxes from the NCEP-NCAR reanalysis over the western boundary currents</t>
  </si>
  <si>
    <t>AIR-SEA INTERACTION; WIND STRESS; OCEAN; ATLANTIC; LAYER; CLIMATOLOGY; TEMPERATURE; EXCHANGE; OUTBREAK; PROFILE</t>
  </si>
  <si>
    <t>With the completion of the NCEP-NCAR and ECMWF reanalyses there are now global representations of air-sea surface heat fluxes with sufficient spatial and temporal resolution to be useful in characterizing the air-sea interaction associated with individual weather systems, as well as in developing global-scale oceanic heat and moisture budgets. However, these fluxes are strongly dependent on the numerical models used, and, as a result, there is a clear need to validate them against observations. Accurate air-sea heat flux estimates require a realistic representation of the atmospheric boundary layer, and the implementation of an appropriate surface flux parameterization. Previous work at high latitudes has highlighted the shortcomings of the surface turbulent heat flux parameterization used in the NCEP-NCAR reanalysis during high wind speed conditions, especially when combined with large air-sea temperature differences. Here the authors extend this result through an examination of the air-sea heat fluxes over the western boundary currents of the North Atlantic and North Pacific Oceans. These are also regions where large transfers of heat and moisture from the ocean to the atmosphere take place. A comparison with in situ data shows that the surface layer meteorological fields are reasonably well represented in the NCEP-NCAR reanalysis, but the turbulent heat flux fields contain significant systematic errors. It is argued that these errors are associated with shortcomings in the bulk flux algorithm employed in the reanalysis. Using the NCEP-NCAR reanalysis surface layer meteorological fields and a more appropriate bulk flux algorithm, adjusted'' fields for the sensible and latent heat fluxes are presented that more accurately represent the air-sea exchange of heat and moisture over the western boundary currents.</t>
  </si>
  <si>
    <t>Univ Toronto, Dept Phys, Toronto, ON M5S 1A7, Canada; British Antarctic Survey, Cambridge CB3 0ET, England</t>
  </si>
  <si>
    <t>University of Toronto; UK Research &amp; Innovation (UKRI); Natural Environment Research Council (NERC); NERC British Antarctic Survey</t>
  </si>
  <si>
    <t>Univ Toronto, Dept Phys, 60 St George St, Toronto, ON M5S 1A7, Canada.</t>
  </si>
  <si>
    <t>moore@atmosp.physics.utoronto.ca</t>
  </si>
  <si>
    <t>Renfrew, Ian A/E-4057-2010; Moore, George Kent/D-8518-2011</t>
  </si>
  <si>
    <t>Moore, George Kent/0000-0002-3986-5605; Renfrew, Ian/0000-0001-9379-8215</t>
  </si>
  <si>
    <t>10.1175/1520-0442(2002)015&lt;2020:AAOTST&gt;2.0.CO;2</t>
  </si>
  <si>
    <t>576LR</t>
  </si>
  <si>
    <t>WOS:000177007200002</t>
  </si>
  <si>
    <t>Duman, JG; Verleye, D; Li, N</t>
  </si>
  <si>
    <t>Site-specific forms of antifreeze protein in the beetle Dendroides canadensis</t>
  </si>
  <si>
    <t>JOURNAL OF COMPARATIVE PHYSIOLOGY B-BIOCHEMICAL SYSTEMIC AND ENVIRONMENTAL PHYSIOLOGY</t>
  </si>
  <si>
    <t>antifreeze proteins; cold tolerance; insect cold tolerance; subzero temperature tolerance</t>
  </si>
  <si>
    <t>ANTARCTIC FISH; OVERWINTERING LARVAE; SUPERCOOLED STATE; ICE NUCLEATORS; FLUID; TOLERANCE; GLYCOPEPTIDES; GLYCOPROTEINS; MAINTENANCE; SPIDERS</t>
  </si>
  <si>
    <t>It was known previously that overwintering larvae of the beetle Dendroides canadensis produce antifreeze proteins (DAFPs) consisting of a family of 12 similar proteins, and based on sequence variations the DAFPs may be separated into three groups. DAFPs were known to be present in hemolymph, midgut fluid and in/on epidermal cells located immediately under the cuticle. However, only DAFPs-1, 2, and 4 were known to be present in the hemolymph, leaving the location of the others unknown. In this study, matrix-assisted laser desorption ionization time-of-flight (MALDI-TOF) mass spectrometry of hemolymph confirmed the presence of DAFPs-1, 2, and 4 (Group 1), plus a protein consistent with the mass of DAFP-6 (Group I). Also, a review of older data revealed the co-purification of DAFP-6 along with DAFP-4 in hemolymph. However, none of the other DAFPs (Groups II and III) were present in hemolymph. In contrast, mass spectrometry of midgut fluid demonstrated the absence of DAFPs-1, 2, 4, or 6, however, proteins consistent with the masses of all, or a subset of, Groups II and/or III were present. Reverse transcriptase polymerase chain reaction (RTPCR) showed that transcripts of all 12 DAFPs were present in the fat body. However, consistent with the MALDI-TOF data, only Groups II (8, 9, 10, 11) and III (3, 5, 7, 12) transcripts were found in midgut epithelia. RT-PCR of epidermal tissue identified dafps- 4, 6, 8 and 11 (and sometimes 1 and/or 2) as the major transcripts. These data suggest that various DAFPs may have evolved to function best in certain sites.</t>
  </si>
  <si>
    <t>0174-1578</t>
  </si>
  <si>
    <t>J COMP PHYSIOL B</t>
  </si>
  <si>
    <t>J. Comp. Physiol. B-Biochem. Syst. Environ. Physiol.</t>
  </si>
  <si>
    <t>10.1007/s00360-002-0284-x</t>
  </si>
  <si>
    <t>598BA</t>
  </si>
  <si>
    <t>WOS:000178254200011</t>
  </si>
  <si>
    <t>Searles, PS; Flint, SD; Díaz, SB; Rousseaux, MC; Ballaré, CL; Caldwell, MM</t>
  </si>
  <si>
    <t>Plant response to solar ultraviolet-B radiation in a southern South American Sphagnum peatland</t>
  </si>
  <si>
    <t>JOURNAL OF ECOLOGY</t>
  </si>
  <si>
    <t>Antarctic ozone hole; peatland; Tierra del Fuego; ultraviolet radiation; UV-B</t>
  </si>
  <si>
    <t>TIERRA-DEL-FUEGO; SUB-ARCTIC HEATH; ANTARCTIC VASCULAR PLANTS; CLIMATE-RELATED GROWTH; UV-B; TERRESTRIAL ECOSYSTEMS; NATURAL ECOSYSTEM; OZONE DEPLETION; ARGENTINA; SEEDLINGS</t>
  </si>
  <si>
    <t>1 Plant growth and pigmentation of the moss Sphagnum magellanicum and the vascular plants Empetrum rubrum , Nothofagus antarctica and Tetroncium magellanicum were measured under near-ambient (90% of ambient) and reduced (20%) ultraviolet-B (UV-B) radiation for three growing seasons in a Sphagnum peatland in Tierra del Fuego, Argentina (55degrees S). 2 Reduction of solar UV-B increased height growth but decreased volumetric density in S. magellanicum so that biomass production was not influenced during the 3 years. The morphology of vascular plants tended not to respond to UV-B reduction. 3 A 10-20% decrease in UV-B-absorbing compounds occurred in T. magellanicum under solar UV-B reduction. No effects were seen on chlorophyll or carotenoids in S. magellanicum , although, for UV-B-absorbing compounds, a significant interaction between UV-B and year suggests some response to solar UV-B reduction. 4 The climate-related growth of the dwarf shrub E. rubrum was assessed retrospectively by correlating an 8-year record of annual stem elongation with macroclimatic factors including solar UV-B and visible radiation, precipitation and temperature. 5 No significant negative correlations were found between annual E. rubrum stem elongation and ambient solar UV-B, the ratio of UV-B : visible radiation, or the 305-nm : 340-nm irradiance ratio for an 8-year record (1990-91 to 1997-98), nor was stem elongation affected by solar UV-B reduction in our experimental field plots after 3 years. 6 The role of solar UV-B radiation on plant growth in Sphagnum peatlands in Tierra del Fuego, Argentina, is likely to depend on the severity of stratospheric ozone depletion over the next several decades. The increases in ambient solar UV-B associated with ozone depletion over the last 20 years are less than the difference between our radiation treatments. Therefore, providing that the ozone layer substantially recovers by the middle of this century, only modest effects of increased solar UV-B on plant growth may be expected.</t>
  </si>
  <si>
    <t>Utah State Univ, Dept Rangeland Resources, Logan, UT 84322 USA; Utah State Univ, Ctr Ecol, Logan, UT 84322 USA; Ctr Austral Invest Cient, RA-9410 Ushuaia, Tierra Fuego, Argentina; Univ Buenos Aires, Fac Agron, Dept Ecol, IFEVA, RA-1417 Buenos Aires, DF, Argentina</t>
  </si>
  <si>
    <t>Utah System of Higher Education; Utah State University; Utah System of Higher Education; Utah State University; University of Buenos Aires</t>
  </si>
  <si>
    <t>Flint, SD (corresponding author), Utah State Univ, Dept Rangeland Resources, Logan, UT 84322 USA.</t>
  </si>
  <si>
    <t>; Ballare, Carlos/F-5141-2011</t>
  </si>
  <si>
    <t>Searles, Peter/0000-0002-2867-5881; Rousseaux, Maria Cecilia/0000-0001-8761-8839; Ballare, Carlos/0000-0001-9129-4531</t>
  </si>
  <si>
    <t>0022-0477</t>
  </si>
  <si>
    <t>J ECOL</t>
  </si>
  <si>
    <t>J. Ecol.</t>
  </si>
  <si>
    <t>10.1046/j.1365-2745.2002.00709.x</t>
  </si>
  <si>
    <t>582TZ</t>
  </si>
  <si>
    <t>WOS:000177368400012</t>
  </si>
  <si>
    <t>Physiological basis of temperature-dependent biogeography:: trade-offs in muscle design and performance in polar ectotherms</t>
  </si>
  <si>
    <t>polar; ectotherm; thermal tolerance; muscle; performance; oxygen availability; temperature</t>
  </si>
  <si>
    <t>COD GADUS-MORHUA; THERMAL-ACCLIMATION; SKELETAL-MUSCLE; ANTARCTIC FISH; METABOLIC-RATE; RAINBOW-TROUT; FATTY-ACID; ENVIRONMENTAL-TEMPERATURE; ENDURANCE EXERCISE; COLD ADAPTATION</t>
  </si>
  <si>
    <t>Polar, especially Antarctic, oceans host ectothermic fish and invertebrates characterized by low-to-moderate levels of motor activity; maximum performance is reduced compared with that in warmer habitats. The present review attempts to identify the trade-offs involved in adaptation to cold in the light of progress in the physiology of thermal tolerance. Recent evidence suggests that oxygen limitations and a decrease in aerobic scope are the first indications of tolerance limits at both low and high temperature extremes. The cold-induced reduction in aerobic capacity is compensated for at the cellular level by elevated mitochondrial densities, accompanied by molecular and membrane adjustments for the maintenance of muscle function. Particularly in the muscle of pelagic Antarctic fish, among notothenioids, the mitochondrial volume densities are among the highest known for vertebrates and are associated with cold compensation of aerobic metabolic pathways, a reduction in anaerobic scope, rapid recovery from exhaustive exercise and enhanced lipid stores as well as a preference for lipid catabolism characterized by high energy efficiency at high levels of ambient oxygen supply. Significant anaerobic capacity is still found at the very low end of the activity spectrum, e.g. among benthic eelpout (Zoarcideae). In contrast to the cold-adapted eurytherms of the Arctic, polar (especially Antarctic) stenotherms minimize standard metabolic rate and, as a precondition, the aerobic capacity per milligram of mitochondrial protein, thereby minimizing oxygen demand. Cost reductions are supported by the downregulation of the cost and flexibility of acid-base regulation. At maintained factorial scopes, the reduction in standard metabolic rate will cause net aerobic scope to be lower than in temperate species. Loss of contractile myofilaments and, thereby, force results from space constraints due to excessive mitochondrial proliferation. On a continuum between low and moderately high levels of muscular activity, polar fish have developed characteristics of aerobic metabolism equivalent to those of high-performance swimmers in warmer waters. However, they only reach low performance levels despite taking aerobic design to an extreme.</t>
  </si>
  <si>
    <t>Pörtner, Hans-O./0000-0001-6535-6575</t>
  </si>
  <si>
    <t>586XU</t>
  </si>
  <si>
    <t>WOS:000177612100010</t>
  </si>
  <si>
    <t>Lingenfelser, GS; Grose, WL</t>
  </si>
  <si>
    <t>Use of long-lived tracer observations to examine transport characteristics in the lower stratosphere</t>
  </si>
  <si>
    <t>transport; stratosphere; HALOE; tracer</t>
  </si>
  <si>
    <t>HALOGEN OCCULTATION EXPERIMENT; ARRAY ETALON SPECTROMETER; POLAR VORTEX AIR; ATMOSPHERE RESEARCH SATELLITE; LAGRANGIAN-MEAN DIAGNOSTICS; ANTARCTIC OZONE HOLE; IN-SITU OBSERVATIONS; ARCTIC VORTEX; ISENTROPIC TRANSPORT; CHLORINE RADICALS</t>
  </si>
  <si>
    <t>[1] The Halogen Occultation Experiment (HALOE) CH4 data were used in a modified Lagrangian-mean (MLM) analysis. The implemented MLM analysis is advantageous in that it provides a unique method for capturing tracer distributions and identifying so-called transport barriers (i.e., regions where quasi-horizontal transport is inhibited) and mixing regions, knowing only the mixing ratios of long-lived tracers. This analysis can be used with any long-lived tracer provided that adequate spatial coverage can be achieved either instantaneously or over a reasonably short period of time (i.e., characteristic time over which diabatic processes responsible for cross-isentropic transport are small or negligible, similar to7-10 days in the lower stratosphere). Previous authors have demonstrated the use of this technique with data from limb-sounding instruments which can provide near-hemispheric coverage in a day. We show how this technique can be implemented with HALOE occultation data. Because the solar occultation sampling pattern of HALOE requires similar to1 month to achieve near-hemispheric coverage, synoptic distributions of CH4 are reconstructed using the UK Meteorological Office potential vorticity (PV) distributions, exploiting the tracer's correlation with PV. In previous studies, authors have used PV for filling voids in tracer distributions. It is concluded that an MLM cross section of CH4 can be constructed from the HALOE occultation data, provided that a suitable synoptic distribution of PV can be obtained for the desired period. To illustrate the feasibility and usefulness of applying the MLM technique to HALOE reconstructed CH4 data, transport characteristics in the lower stratosphere were investigated using CH4 data for two different regimes ( polar and subtropical) at times when airborne in situ data were available. In this manner we were able to compare information available with respect to transport from the MLM equivalent length analyses with that provided by aircraft tracer-tracer correlations. The very good agreement between ER-2 and HALOE data observed in CH4-O-3 correlations and in CH4 and O-3 near-coincident comparisons increased our confidence in using the HALOE data in the MLM equivalent length analyses. Unlike the satellite data, the ER-2 in situ measurements cannot be used in the MLM technique. Instead, correlations between the mixing ratios of various tracer constituents have been used extensively in the past to provide insight into the relative roles of chemistry and transport in the lower stratosphere. However, separating the effects of chemistry and transport and accurately interpreting tracer-tracer correlations is often difficult. We show that associating an aircraft tracer-tracer correlation with a coincident HALOE MLM equivalent length analysis may provide for a less ambiguous evaluation of the correlation in the sense that it provides information on transport processes in physical space. Also, there are obvious implications for use of MLM equivalent length analyses in regions/time frames when aircraft data are not available.</t>
  </si>
  <si>
    <t>Sci Applicat Int Corp, NASA LaRC, Hampton, VA 23681 USA; NASA, Langley Res Ctr, Hampton, VA 23681 USA</t>
  </si>
  <si>
    <t>Science Applications International Corporation (SAIC); National Aeronautics &amp; Space Administration (NASA); NASA Langley Research Center; National Aeronautics &amp; Space Administration (NASA); NASA Langley Research Center</t>
  </si>
  <si>
    <t>Lingenfelser, GS (corresponding author), Sci Applicat Int Corp, NASA LaRC, MS 401B, Hampton, VA 23681 USA.</t>
  </si>
  <si>
    <t>lingenfelser@larc.nasa.gov; w.l.grose@larc.nasa.gov</t>
  </si>
  <si>
    <t>D15</t>
  </si>
  <si>
    <t>10.1029/2001JD001296</t>
  </si>
  <si>
    <t>610TR</t>
  </si>
  <si>
    <t>WOS:000178977400020</t>
  </si>
  <si>
    <t>Verkulich, SR; Melles, M; Hubberten, HW; Pushina, ZV</t>
  </si>
  <si>
    <t>Holocene environmental changes and development of Figurnoye Lake in the southern Bunger Hills, East antarctica</t>
  </si>
  <si>
    <t>JOURNAL OF PALEOLIMNOLOGY</t>
  </si>
  <si>
    <t>Antarctic oasis; diatoms; Holocene paleoenvironments; lake sediments; radiocarbon dating; sediment composition</t>
  </si>
  <si>
    <t>VESTFOLD HILLS; ICE; DEGLACIATION; OASIS; SNOW</t>
  </si>
  <si>
    <t>The lithology, radiocarbon chronology, granulometry, geochemistry and distribution of diatoms were investigated in three sediment cores from fresh-water Figurnoye Lake in the southern Bunger Hills, East Antarctica. Our paleolimnological data provide a record of Holocene environmental changes for this region. In the early Holocene (prior to 9.0 +/- 0.5 kyr BP), warm climate conditions caused intensive melting of either the floating glacier ice mass or glaciers in the immediate lake surroundings, leading to the accumulation of terrigenous clastic sediments and limiting biogenic production in the lake. From ca. 9.0 +/- 0.5 to 5.5 +/- 0.5 kyr BP, highly biogenic sediments dominated by benthic mosses formed, indicating more distal glaciers or snowfields. A relatively cold and dry climate during this period caused weaker lake-water circulation and, likely, occurrence of lake ice conditions were more severe than present. The distribution of marine diatoms in the cores shows that, sometime between 8 and 5 kyr BP, limited amounts of marine water episodically penetrated to the lake, requiring a relative sea-level rise exceeding 10-11 m. During the last ca. 5.5 +/- 0.5 kyr BP, sedimentation of mainly biogenic matter with a dominance of laminated microbial mats occurred in the lake under warm climatic conditions, interrupted by relative coolings: the first one around 2 kyr BP and then shortly before recent time. Between ca. 5.5 and 4 kyr BP, the drainage of numerous ice-dammed lakes took place in the southern Bunger Hills and, as a result, drier landscapes have existed here from about 4 kyr BP.</t>
  </si>
  <si>
    <t>Arctic &amp; Antarctic Res Inst, State Sci Ctr, St Petersburg 199397, Russia; Alfred Wegener Inst Polar &amp; Marine Res, Res Unit Potsdam, D-14473 Potsdam, Germany; Russian Res Inst Oceanol &amp; Mineral Resources, St Petersburg 190121, Russia</t>
  </si>
  <si>
    <t>Arctic &amp; Antarctic Research Institute; Helmholtz Association; Alfred Wegener Institute, Helmholtz Centre for Polar &amp; Marine Research</t>
  </si>
  <si>
    <t>Verkulich, SR (corresponding author), Arctic &amp; Antarctic Res Inst, State Sci Ctr, St Petersburg 199397, Russia.</t>
  </si>
  <si>
    <t>Melles, Martin/0000-0003-0977-9463</t>
  </si>
  <si>
    <t>0921-2728</t>
  </si>
  <si>
    <t>J PALEOLIMNOL</t>
  </si>
  <si>
    <t>J. Paleolimn.</t>
  </si>
  <si>
    <t>10.1023/A:1021661700899</t>
  </si>
  <si>
    <t>Environmental Sciences; Geosciences, Multidisciplinary; Limnology</t>
  </si>
  <si>
    <t>Environmental Sciences &amp; Ecology; Geology; Marine &amp; Freshwater Biology</t>
  </si>
  <si>
    <t>621WW</t>
  </si>
  <si>
    <t>WOS:000179614800007</t>
  </si>
  <si>
    <t>Fretzdorff, S; Livermore, RA; Devey, CW; Leat, PT; Stoffers, P</t>
  </si>
  <si>
    <t>Petrogenesis of the back-arc east Scotia Ridge, South Atlantic Ocean</t>
  </si>
  <si>
    <t>JOURNAL OF PETROLOGY</t>
  </si>
  <si>
    <t>geochemistry; petrogenesis; volcanism; back-arc; subduction</t>
  </si>
  <si>
    <t>NORTHERN MARIANA TROUGH; VOLCANIC-ROCKS; TRACE-ELEMENT; ISOTOPE GEOCHEMISTRY; MANTLE FLOW; ISLAND-ARC; FRACTIONAL CRYSTALLIZATION; SPREADING CENTER; MAGMA GENESIS; BASIN BASALTS</t>
  </si>
  <si>
    <t>The East Scotia Ridge is an active back-arc spreading centre located to the west of the South Sandwich island arc in the South Atlantic Ocean, consisting of nine main segments, E1 (north) to E9 (south). Major and trace element and Sr-Nd-Pb isotope compositions are presented, together with water contents, for lavas sampled along the active ridge axis. Magmatism along the East Scotia Ridge is chemically heterogeneous, but there is a common mid-ocean ridge basalt (MORB)-type source component for all the magmas. An almost unmodified MORB-source mantle appears to underlie the central part of the back-arc. Subduction components are found at the northern and southern ends of the ridge, and there is a marked sediment melt input of up to 2% in segment E4. Enriched (plume) mantle is present beneath segment E2 at the northern end of the ridge, suggesting that plume mantle is flowing westward around the edges of the subducting slab. The southern part of segment E8 is unique in that its magma source is similar to sub-arc depleted mantle.</t>
  </si>
  <si>
    <t>Univ Kiel, Inst Geosci, D-24118 Kiel, Germany; British Antarctic Survey, Cambridge CB3 0ET, England; Univ Bremen, Fachbereich Geowissensch 5, D-28334 Bremen, Germany</t>
  </si>
  <si>
    <t>University of Kiel; UK Research &amp; Innovation (UKRI); Natural Environment Research Council (NERC); NERC British Antarctic Survey; University of Bremen</t>
  </si>
  <si>
    <t>Univ Kiel, Inst Geosci, Olshaussenstr 40, D-24118 Kiel, Germany.</t>
  </si>
  <si>
    <t>sf@gpi.uni-kiel.de</t>
  </si>
  <si>
    <t>Livermore, Roy/M-1566-2019; Devey, Colin/I-3898-2016</t>
  </si>
  <si>
    <t>Devey, Colin/0000-0002-0930-7274</t>
  </si>
  <si>
    <t>0022-3530</t>
  </si>
  <si>
    <t>1460-2415</t>
  </si>
  <si>
    <t>J PETROL</t>
  </si>
  <si>
    <t>J. Petrol.</t>
  </si>
  <si>
    <t>10.1093/petrology/43.8.1435</t>
  </si>
  <si>
    <t>580GJ</t>
  </si>
  <si>
    <t>WOS:000177226600002</t>
  </si>
  <si>
    <t>Cockell, CS; Rettberg, P; Horneck, G; Wynn-Williams, DD; Scherer, K; Gugg-Helminger, A</t>
  </si>
  <si>
    <t>Influence of ice and snow covers on the UV exposure of terrestrial microbial communities: dosimetric studies</t>
  </si>
  <si>
    <t>JOURNAL OF PHOTOCHEMISTRY AND PHOTOBIOLOGY B-BIOLOGY</t>
  </si>
  <si>
    <t>UV radiation; snow; ice; dosimetry; Bacillus subtilis; Antarctic</t>
  </si>
  <si>
    <t>ULTRAVIOLET-RADIATION; ANTARCTICA; BIOFILM; LIGHT; AMPLIFICATION; DAMAGE; ALGAE; FIELD; LAKES; DNA</t>
  </si>
  <si>
    <t>Bacillus subtilis spore biological dosimeters and electronic dosimeters were used to investigate the exposure of terrestrial microbial communities in micro-habitats covered by snow and ice in Antarctica. The melting of snow covers of between 5- and 15-cm thickness, depending on age and heterogeneity, could increase B. subtilis spore inactivation by up to an order of magnitude, a relative increase twice that caused by a 50% ozone depletion. Within the snow-pack at depths of less than similar to3 em snow algae could receive two to three times the DNA-weighted irradiance they would receive on bare ground. At the edge of the snow-pack, warming of low albedo soils resulted in the formation of overhangs that provided transient UV protection to thawed and growing microbial communities on the soils underneath. In shallow aquatic habitats, thin layers of heterogeneous ice of a few millimetres thickness were found to reduce DNA-weighted irradiances by up to 55% compared to full-sky values with equivalent DNA-weighted diffuse attenuation coefficients (K-DNA) of &gt;200 m(-1). A 2-mm snow-encrusted ice cover on a pond was equivalent to 10 cm of ice on a perennially ice covered lake. Ice covers also had the effect of stabilizing the UV exposure, which was often subject to rapid variations of up to 33% of the mean value caused by wind-rippling of the water surface. These data show that changing ice and snow covers cause relative changes in microbial UV exposure at least as great as those caused by changing ozone column abundance. (C) 2002 Elsevier Science B.V. All rights reserved.</t>
  </si>
  <si>
    <t>British Antarctic Survey, Cambridge CB3 0ET, England; Inst Aerosp Med, German Aerosp Ctr, D-51170 Cologne, Germany; Gigahertz Opt, D-82178 Puchheim, Germany</t>
  </si>
  <si>
    <t>UK Research &amp; Innovation (UKRI); Natural Environment Research Council (NERC); NERC British Antarctic Survey; Helmholtz Association; German Aerospace Centre (DLR)</t>
  </si>
  <si>
    <t>csco@bas.ac.uk</t>
  </si>
  <si>
    <t>ELSEVIER SCIENCE SA</t>
  </si>
  <si>
    <t>LAUSANNE</t>
  </si>
  <si>
    <t>PO BOX 564, 1001 LAUSANNE, SWITZERLAND</t>
  </si>
  <si>
    <t>1011-1344</t>
  </si>
  <si>
    <t>J PHOTOCH PHOTOBIO B</t>
  </si>
  <si>
    <t>J. Photochem. Photobiol. B-Biol.</t>
  </si>
  <si>
    <t>PII S1011-1344(02)00327-5</t>
  </si>
  <si>
    <t>10.1016/S1011-1344(02)00327-5</t>
  </si>
  <si>
    <t>598TR</t>
  </si>
  <si>
    <t>WOS:000178293000004</t>
  </si>
  <si>
    <t>Vanicek, M; Siedler, G</t>
  </si>
  <si>
    <t>Zonal fluxes in the deep water layers of the Western South Atlantic Ocean</t>
  </si>
  <si>
    <t>ANTARCTIC BOTTOM WATER; BOUNDARY CURRENT; BRAZIL BASIN; EQUATORIAL ATLANTIC; SOUTHWESTERN ATLANTIC; HEAT-TRANSPORT; FRACTURE-ZONES; ALTIMETER DATA; INDIAN-OCEAN; ANNUAL CYCLE</t>
  </si>
  <si>
    <t>Zonal transports of North Atlantic Deep Water (NADW) in the South Atlantic are determined. For this purpose the circulation of intermediate and deep water masses is established on the basis of hydrographic sections from the World Ocean Circulation Experiment (WOCE) and some pre-WOCE sections, using temperature, salinity, nutrients, and anthropogenic tracers. Multiple linear regression is applied to infer missing parameters in the bottle dataset. A linear box-inverse model is used for a set of closed boxes given by sections and continental boundaries. After performing a detailed analysis of water mass distribution, 11 layers are prescribed. Neutral density surfaces are selected as layer interfaces, thus improving the description of water mass distribution in the transition between the subtropical and subpolar latitudes. Constraints for the inverse model include integral meridional salt and phosphorus transports, overall salt and silica conservation, and transports from moored current meter observations. Inferred transport numbers for the mean meridional thermohaline overturning are given. Persistent zonal NADW transport bands are found in the western South Atlantic, in particular eastward flow of relatively new NADW between 20degrees and 25degreesS and westward flow of older NADW to the north of this latitude range. The axis of the eastward transport band corresponds to the core of property distributions in this region, suggesting Wustian flow. Part of the eastward flow appears to cross the Mid-Atlantic Ridge at the Rio de Janeiro Fracture Zone. Results are compared qualitatively with deep float observations and results from general circulation models.</t>
  </si>
  <si>
    <t>Inst Meereskunde, D-2300 Kiel, Germany</t>
  </si>
  <si>
    <t>Vanicek, M (corresponding author), Woods Hole Oceanog Inst, 360 Woods Hole Rd,MS 21, Woods Hole, MA 02543 USA.</t>
  </si>
  <si>
    <t>10.1175/1520-0485(2002)032&lt;2205:ZFITDW&gt;2.0.CO;2</t>
  </si>
  <si>
    <t>581ZH</t>
  </si>
  <si>
    <t>WOS:000177324900001</t>
  </si>
  <si>
    <t>McCreary, JP; Lu, P; Yu, ZJ</t>
  </si>
  <si>
    <t>Dynamics of the Pacific subsurface countercurrents</t>
  </si>
  <si>
    <t>EASTERN EQUATORIAL PACIFIC; INTERMEDIATE WATER; WORLD OCEAN; WIND STRESS; CIRCULATIONS; UNDERCURRENT; THERMOCLINE; MODEL; VORTICITY; VELOCITY</t>
  </si>
  <si>
    <t>A hierarchy of models, varying from 2 1/2-layer to 4 1/2-layer systems, is used to explore the dynamics of the Pacific Subsurface Countercurrents, commonly referred to as Tsuchiya Jets'' (TJs). The TJs are eastward currents located on either side of the equator at depths from 200 to 500 m and at latitudes varying from about 2degrees to 7degrees north and south of the equator, and they carry about 14 Sv of lower-thermocline (upper-intermediate) water throughout the tropical Pacific. Solutions are found in idealized and realistic basins and are obtained both analytically and numerically. They are forced by winds and by a prescribed Pacific interocean circulation (IOC) with transport M (usually 10 Sv), representing the outflow of water in the Indonesian passages and a compensating inflow from the Antarctic Circumpolar Current. Analytic solutions to the 2 1/2-layer model suggest that the TJs are geostrophic currents along arrested fronts. Such fronts are generated when Rossby wave characteristics, carrying information about oceanic density structure away from boundaries, converge or intersect in the interior ocean. They indicate that the southern and northern TJs are driven by upwelling along the South American coast and in the ITCZ band, respectively, that the northern TJ is strengthened by a recirculation gyre that extends across the basin, and that TJ pathways are sensitive to stratification parameters. Numerical solutions to the 2 1/2-layer and 4 1/2-layer models confirm the analytic results, demonstrate that the northern TJ is strengthened considerably by unstable waves along the eastward branch of the recirculation gyre, show that the TJs are an important branch of the Pacific IOC, and illustrate the sensitivity of TJ pathways to vertical-mixing parameterizations and the structure of the driving wind. In a solution to the 2 1/2-layer model with M = 0, the southern TJ vanishes but the northern one remains, being maintained by the unstable waves. In contrast, both TJs vanish in the M = 0 solution to the 4 1/2-layer model, apparently because wave energy can radiate into a deeper layer (i.e., layer 4). In the 4 1/2-model, then, the TJs exist because of the Indonesian Throughflow, a remarkable example of remote forcing on a basinwide scale.</t>
  </si>
  <si>
    <t>Univ Hawaii, Int Pacific Res Ctr, Sch Ocean &amp; Earth Sci &amp; Technol, Honolulu, HI 96822 USA; Nova SE Univ, Oceanog Ctr, Dania, FL USA</t>
  </si>
  <si>
    <t>University of Hawaii System; Nova Southeastern University</t>
  </si>
  <si>
    <t>McCreary, JP (corresponding author), Univ Hawaii, Int Pacific Res Ctr, Sch Ocean &amp; Earth Sci &amp; Technol, 2525 Correa Rd, Honolulu, HI 96822 USA.</t>
  </si>
  <si>
    <t>10.1175/1520-0485(2002)032&lt;2379:DOTPSC&gt;2.0.CO;2</t>
  </si>
  <si>
    <t>WOS:000177324900010</t>
  </si>
  <si>
    <t>Jackson, GD; Forsythe, JW</t>
  </si>
  <si>
    <t>Statolith age validation and growth of Loligo plei (Cephalopoda: Loliginidae) in the north-west Gulf of Mexico during spring/summer</t>
  </si>
  <si>
    <t>TEMPERATURE; SQUID</t>
  </si>
  <si>
    <t>Statolith validation and age and growth analysis was undertaken for the loliginid squid Loligo plei in the north-west Gulf of Mexico off Galveston, Texas. Statolith increments were shown to be laid down daily based on tetracycline staining of 19 individuals maintained in captivity. Ageing of field-captured individuals from late summer revealed that this species has rapid growth rates and a life span of about five months at least during the warm period of the year in this region of the Gulf of Mexico.</t>
  </si>
  <si>
    <t>Univ Tasmania, Inst Antarctic &amp; So Ocean Studies, Hobart, Tas, Australia; Univ Texas, Med Branch, Inst Marine Biomed, Natl Resource Ctr Cephalopods, Galveston, TX 77555 USA</t>
  </si>
  <si>
    <t>University of Tasmania; University of Texas System; University of Texas Medical Branch Galveston</t>
  </si>
  <si>
    <t>Jackson, GD (corresponding author), Univ Tasmania, Inst Antarctic &amp; So Ocean Studies, POB 252-77, Hobart, Tas, Australia.</t>
  </si>
  <si>
    <t>10.1017/S0025315402006069</t>
  </si>
  <si>
    <t>596PK</t>
  </si>
  <si>
    <t>WOS:000178173100023</t>
  </si>
  <si>
    <t>Peck, LS; Prothero-Thomas, E</t>
  </si>
  <si>
    <t>Temperature effects on the metabolism of larvae of the Antarctic starfish Odontaster validus,using a novel micro-respirometry method</t>
  </si>
  <si>
    <t>MARINE INVERTEBRATE EMBRYOS; OXYGEN-CONSUMPTION; ENERGY-METABOLISM; SEA-URCHIN; ECHINODERMS; SEAWATER; RATES</t>
  </si>
  <si>
    <t>Oxygen consumption of individual larvae of the Antarctic sea-star Odontaster validus was measured during the 50-day period following fertilisation. Values ranged from 0.76 pmol O-2 h(-1) for one specimen at the coeloblastula stage to 77.6 pmol O-2 h(-1) for one bipinnaria larva. At 0degreesC the mean oxygen consumption rate of an individual larva increased from 10.9 pmol O-2 h(-1) (standard error of the mean, SEM, 0.13) for a gastrula larva, 13 days post-fertilisation, to 25.4 pmol O-2 h(-1) (SEM 3.5) at the bipinnaria stage (50 days post-fertilisation). Gastrulae reared at -0.5degreesC did not have significantly different oxygen consumption rates between dabs 13 and 45 post-fertilisation (mean=11.4 pmol O-2 h(-1)). Individual metabolic rates were highly variable, covering more than a 40-fold range. At 2degreesC gastrula oxygen consumption was on average 45% higher (17.35 pmol O-2 h(-1)) giving a Q(10) temperature effect of 4.4. For bipinnaria, mean oxygen consumption in 2degreesC larvae (31.4 pmol O-2 h(-1)) was not significantly different from that in larvae at -0.5degreesC, suggesting bipinnaria metabolism may be less sensitive to temperature change than earlier stages. At 2degreesC the bipinnaria stage was,reached at 30-35 days compared with 45-50 days at 10degreesC, giving a Q(10) of 4.5 for temperature effects on development. The method here used a new, highly sensitive micro-respirometry method that is inexpensive and straightforward in design. Individual larvae of O. validus were held in 35- to 50-mul respirometers. These larvae :have very low metabolic rates, and published work on,such organisms have utilised at least 25 individuals per chamber. The oxygen content of the respirometers was measured using a 25-mul sample injected into a couloximeter. Oxygen consumption rates down to -1 pmol h(-1) can be detected. Under optimum conditions oxygen consumption of a single larva of -4 pmol O-2 h(-1) was measured with an accuracy of +/-20%. Values of similar to15 pmol h(-1) could routinely be measured with this accuracy. This method would allow oxygen consumption to be evaluated in individual field-caught larvae of most marine ectotherms.</t>
  </si>
  <si>
    <t>Peck, LS (corresponding author), British Antarctic Survey, NERC, High Cross,Madingley Rd, Cambridge CB3 0ET, England.</t>
  </si>
  <si>
    <t>l.peck@bas.ac.uk</t>
  </si>
  <si>
    <t>10.1007/s00227-002-0834-5</t>
  </si>
  <si>
    <t>593MU</t>
  </si>
  <si>
    <t>WOS:000177995900007</t>
  </si>
  <si>
    <t>Folk, RL; Taylor, LA</t>
  </si>
  <si>
    <t>Nannobacterial alteration of pyroxenes in martian meteorite Allan Hills 84001</t>
  </si>
  <si>
    <t>BACTERIAL MINERALIZATION PATTERNS; BASALTIC AQUIFERS; POSSIBLE LIFE; ALH84001; NANOBACTERIA; MARS; SEM; MICROFOSSILS; MICROBES; ROCKS</t>
  </si>
  <si>
    <t>In martian meteorite Allan Hills (ALH) 84001, this scanning electron microscope study was focused on the ferromagnesian minerals, which are extensively covered with nanometer-size bodies mainly 30-100 nm in diameter. These bodies range from spheres to ovoids to caterpillar shapes and resemble, both in size and shape, nannobacteria that attack weathered rocks on Earth and that can be cultured. Dense colonies alternate with clean, smooth cleavage surfaces, possibly formed later. Statistical study shows that the distribution of presumed nannobacteria is very clustered. In addition to the small bodies, there are a few occurrences of ellipsoidal 200-400 nm objects, that are within the lower size range of normal earthly bacteria. We conclude that the nanobodies so abundant in ALH 84001 are indeed nannobacteria, confirming the initial assertion of McKay et al. (1996). However, whether these bodies originated on Mars or are Antarctic contamination remains a valid question.</t>
  </si>
  <si>
    <t>Univ Tennessee, Planetary Geosci Inst, Knoxville, TN 37996 USA; Univ Texas, Dept Geol Sci, Austin, TX 78712 USA</t>
  </si>
  <si>
    <t>University of Tennessee System; University of Tennessee Knoxville; University of Texas System; University of Texas Austin</t>
  </si>
  <si>
    <t>Taylor, LA (corresponding author), Univ Tennessee, Planetary Geosci Inst, Knoxville, TN 37996 USA.</t>
  </si>
  <si>
    <t>10.1111/j.1945-5100.2002.tb00877.x</t>
  </si>
  <si>
    <t>588NA</t>
  </si>
  <si>
    <t>WOS:000177706500003</t>
  </si>
  <si>
    <t>Romeike, J; Friedl, T; Helms, G; Ott, S</t>
  </si>
  <si>
    <t>Genetic diversity of algal and fungal partners in four species of Umbilicaria (Lichenized ascomycetes) along a transect of the Antarctic peninsula</t>
  </si>
  <si>
    <t>Antarctica; genetic diversity; selectivity; lichen; photobiont; mycobiont</t>
  </si>
  <si>
    <t>VICTORIA LAND; PHOTOBIONTS; POPULATIONS; DISPERSAL; COMMUNITY; SEQUENCE; MOSSES; MODEL</t>
  </si>
  <si>
    <t>Lichens from the genus Umbilicaria were collected across a 5,000-km transect through Antarctica and investigated for DNA sequence polymorphism in a region of 480-660 bp of the nuclear internal transcribed spacer region of ribosomal DNA. Sequences from both fungal (16 ascomycetes) and photosynthetic partners (22 chlorophytes from the genus Trebouxia) were determined and compared with homologs from lichens inhabiting more temperate, continental climates. The phylogenetic analyses reveal that Antarctic lichens have colonized their current habitats both through multiple independent colonization events from temperate embarkation zones and through recent long-range dispersal in the Antarctic of successful preexisting colonizers. Furthermore, the results suggest that relichenization-de novo establishment of the fungus-photosynthesizer symbiosis from nonlichenized algal and fungal cells-has occurred during the process of Antarctic lichen dispersal. Independent dispersal of algal and fungal cultures therefore can lead to a successful establishment of the lichen symbiosis even under harsh Antarctic conditions.</t>
  </si>
  <si>
    <t>Univ Dusseldorf, Inst Bot, D-40225 Dusseldorf, Germany; Univ Gottingen, Albrecht von Haller Inst Pflanzenwissensch, Gottingen, Germany</t>
  </si>
  <si>
    <t>Heinrich Heine University Dusseldorf; University of Gottingen</t>
  </si>
  <si>
    <t>Univ Dusseldorf, Inst Bot, Univstr 1, D-40225 Dusseldorf, Germany.</t>
  </si>
  <si>
    <t>otts@uni-duesseldorf.de</t>
  </si>
  <si>
    <t>Friedl, Thomas/AAS-4403-2021; Friedl, Thomas/AAQ-4606-2021</t>
  </si>
  <si>
    <t>Friedl, Thomas/0000-0002-4070-776X</t>
  </si>
  <si>
    <t>1537-1719</t>
  </si>
  <si>
    <t>10.1093/oxfordjournals.molbev.a004181</t>
  </si>
  <si>
    <t>587MB</t>
  </si>
  <si>
    <t>WOS:000177643900001</t>
  </si>
  <si>
    <t>Olsson, O; van der Jeugd, HP</t>
  </si>
  <si>
    <t>Survival in king penguins Aptenodytes patagonicus:: temporal and sex-specific effects of environmental variability</t>
  </si>
  <si>
    <t>OECOLOGIA</t>
  </si>
  <si>
    <t>breeding experience; cost of reproduction; life history; sex ratio; survival</t>
  </si>
  <si>
    <t>REPRODUCTION; DIET; AVAILABILITY; POPULATION; COSTS</t>
  </si>
  <si>
    <t>We investigated annual adult survival rates of king penguins Aptenodytes patagonicus breeding at South Georgia during 6 years in relation to age/breeding experience, sex, and food availability. During the first 3 years of the study, when food availability was good, survival was 97.7% for experienced breeders, which confirmed the very high survival rates observed in penguins in general. In these years survival did not differ between the sexes, presumably because parental investment is shared equally between the sexes, and the sexual dimorphism is small in king penguins. Survival was lower for young, first-time breeders (83.0%). In experienced birds the annual survival rate decreased to 68-82% following a catastrophic year when food availability was extremely low. We address the question how parents balance their current investment in offspring against their chances to reproduce in the future. We argue that the high mortality rate among breeding individuals after the year of food stress provides support for previous suggestions that the response to increased costs in seabirds might be complex to predict and does not always follow intuitive expectations according to general life-history theory. We also found that females survived significantly less well than males following the bad year. We explain this result as follows: the male-biased sex ratio (56:44) that we observed in our study colony clearly does not result from lower female survival during normal conditions. An already existing skewed sex ratio forces males to delay the onset of breeding because of a lack of breeding partners. This in turn causes breeding females to be, on average, younger and less experienced than males and to have lower survival following a year of food shortage. In this study survival was linked with food availability and we suggest that this was connected to climatic/oceanographic features, such as the position of the Antarctic Polar Front Zone. We could, however, not verify this by anomalies in sea surface temperature data.</t>
  </si>
  <si>
    <t>British Antarctic Survey, NERC, Cambridge CB3 0ET, England; Univ Oxford, Dept Zool, Edward Grey Inst Field Ornithol, Oxford OX1 3PS, England; Evolutionary Biol Ctr, Dept Anim Ecol, S-75236 Uppsala, Sweden</t>
  </si>
  <si>
    <t>Minist Environm, Environm Advisory Council, S-10333 Stockholm, Sweden.</t>
  </si>
  <si>
    <t>olof.olsson@environment.ministry.se</t>
  </si>
  <si>
    <t>van der Jeugd, Henk/S-3159-2019; van der Jeugd, Henk P/F-4891-2010</t>
  </si>
  <si>
    <t>van der Jeugd, Henk/0000-0002-5332-9526; van der Jeugd, Henk P/0000-0002-5332-9526; Olsson, Olof/0000-0002-9479-7609</t>
  </si>
  <si>
    <t>0029-8549</t>
  </si>
  <si>
    <t>1432-1939</t>
  </si>
  <si>
    <t>Oecologia</t>
  </si>
  <si>
    <t>10.1007/s00442-002-0985-6</t>
  </si>
  <si>
    <t>591EE</t>
  </si>
  <si>
    <t>WOS:000177866100004</t>
  </si>
  <si>
    <t>Alberdi, M; Bravo, LA; Gutiérrez, A; Gidekel, M; Corcuera, LJ</t>
  </si>
  <si>
    <t>Ecophysiology of Antarctic vascular plants</t>
  </si>
  <si>
    <t>PHYSIOLOGIA PLANTARUM</t>
  </si>
  <si>
    <t>ULTRAVIOLET-B RADIATION; DESCHAMPSIA-ANTARCTICA; COLOBANTHUS-QUITENSIS; GROWTH; PHOTOSYNTHESIS; REPRODUCTION; RESPONSES; LEAF; ACCLIMATION; VEGETATION</t>
  </si>
  <si>
    <t>Most of the ice and snow-free land in the Antarctic summer is found along the Antarctic Peninsula and adjacent islands and coastal areas of the continent. This is the area where most of the Antarctic vegetation is found. Mean air temperature tends to be above zero during the summer in parts of the Maritime Antarctic. The most commonly found photosynthetic organisms in the Maritime Antarctic and continental edge are lichens (around 380 species) and bryophytes (130 species). Only two vascular plants, Deschampsia antarctica Desv. and Colobanthus quitensis (Kunth) Bartl., have been able to colonize some of the coastal areas. This low species diversity, compared with the Arctic, may be due to permanent low temperature and isolation from continental sources of propagules. The existence of these plants in such a permanent harsh environment makes them of particular interest for the study of adaptations to cold environments and mechanisms of cold resistance in plants. Among these adaptations are high freezing resistance, high resistance to light stress and high photosynthetic capacity at low temperature. In this paper, the ecophysiology of the two vascular plants is reviewed, including habitat characteristics, photosynthetic properties, cold resistance, and biochemical adaptations to cold.</t>
  </si>
  <si>
    <t>Univ Austral Chile, Fac Ciencias, Inst Bot, Valdivia, Chile; Univ Concepcion, Fac Ciencias Nat &amp; Oceanog, Dept Bot, Concepcion, Chile; Univ La Frontera, Dept Agr Prod, Temuco, Chile</t>
  </si>
  <si>
    <t>Universidad Austral de Chile; Universidad de Concepcion; Universidad de La Frontera</t>
  </si>
  <si>
    <t>Univ Austral Chile, Fac Ciencias, Inst Bot, Casilla 567, Valdivia, Chile.</t>
  </si>
  <si>
    <t>malberdi@uach.cl</t>
  </si>
  <si>
    <t>Bravo, Leon/H-9251-2018; Corcuera, Luis J/G-1714-2014; Bravo, León/AAO-8437-2020</t>
  </si>
  <si>
    <t>Bravo, Leon/0000-0003-4705-4842; Bravo, León/0000-0003-4705-4842; Gidekel, Manuel/0000-0002-6770-4630</t>
  </si>
  <si>
    <t>0031-9317</t>
  </si>
  <si>
    <t>1399-3054</t>
  </si>
  <si>
    <t>PHYSIOL PLANTARUM</t>
  </si>
  <si>
    <t>Physiol. Plant.</t>
  </si>
  <si>
    <t>10.1034/j.1399-3054.2002.1150401.x</t>
  </si>
  <si>
    <t>572YH</t>
  </si>
  <si>
    <t>WOS:000176802200001</t>
  </si>
  <si>
    <t>Niehoff, B; Schnack-Schiel, S; Cornils, A; Brichta, M</t>
  </si>
  <si>
    <t>Reproductive activity of two dominant Antarctic copepod species, Metridia gerlachei and Ctenocalanus citer, in late autumn in the eastern Bellingshausen Sea</t>
  </si>
  <si>
    <t>LIFE-CYCLE STRATEGIES; CALANUS-FINMARCHICUS; WEDDELL-SEA; CALANOIDES-ACUTUS; GONAD MATURATION; EGG-PRODUCTION; PROPINQUUS</t>
  </si>
  <si>
    <t>The main reproductive period of herbivorous Antarctic copepods is coupled to the phytoplankton bloom in spring, while omnivorous or carnivorous species apparently reproduce year round. However, our knowledge of the reproduction during autumn and winter is limited. Therefore this study during a cruise with RV Polarstern aimed to measure reproductive activity in two dominant copepod species, Metridia gerlachei and Ctenocalanus citer, in late autumn (April/May). For this purpose, gonad development stages were determined from both species, taken with Bongo net in the eastern Bellingshausen Sea (Antarctic Peninsula region), and related to the ambient feeding conditions represented as chlorophyll:a concentration. In addition, experiments were conducted with M. gerlachei to study the influence of feeding and starvation on gonad development. Gonad maturity of M. gerlachei differed considerably between stations and decreased over time. The correlation of chlorophyll a and the proportion of mature females, though significant, was weak and highly variable. In experiments, the gonads of feeding females were in better condition than those of their starving counterparts, showing that reproductive activity in M. gerlachei was related to ambient feeding conditions. Mature females of C. citer were found at each station (17-67%). The gonad stage composition was rather similar at all stations, showing no clear temporal and spatial trend. In this species, the proportion of mature females was not related to the chlorophyll a concentration, indicating either that the ambient phytoplankton stock was sufficient to fuel maturation or that other food sources were used. Our study shows that both species are reproducing during the austral autumn, indicating that their reproduction is partially decoupled from the spring phytoplankton bloom.</t>
  </si>
  <si>
    <t>Alfred Wegener Inst Polar &amp; Marine Res, Comparat Ecosyst Res, D-27568 Bremerhaven, Germany</t>
  </si>
  <si>
    <t>Niehoff, B (corresponding author), Alfred Wegener Inst Polar &amp; Marine Res, Comparat Ecosyst Res, D-27568 Bremerhaven, Germany.</t>
  </si>
  <si>
    <t>Cornils, Astrid/P-2943-2014</t>
  </si>
  <si>
    <t>Cornils, Astrid/0000-0003-4536-9015; Niehoff, Barbara/0000-0002-7483-9373</t>
  </si>
  <si>
    <t>10.1007/s00300-002-0378-7</t>
  </si>
  <si>
    <t>584DH</t>
  </si>
  <si>
    <t>WOS:000177451600005</t>
  </si>
  <si>
    <t>Säwström, C; Mumford, P; Marshall, W; Hodson, A; Laybourn-Parry, J</t>
  </si>
  <si>
    <t>The microbial communities and primary productivity of cryoconite holes in an Arctic glacier (Svalbard 79°N)</t>
  </si>
  <si>
    <t>MARINE VIRUSES; FRESH-WATER; DYNAMICS; PLANKTON; LAKES; LIFE; ECOSYSTEMS; LAND; ICE</t>
  </si>
  <si>
    <t>The microbial communities and photosynthetic capacity of cryoconite holes on the Midre Lovenbreen Glacier at 79degreesN in Spitzbergen (Svalbard Archipelago) were investigated in July/August 2000 and July 2001. The constituents of the microbial assemblages were more abundant in material on the cryoconite: bottoms than in the overlying water. Bacterial concentrations ranged from 1.00 to 4.50x10(4) ml(-1) in the water and from 4.67 to 7.07x10(4) ml(-1) in the bottom material; virus-like particles (VLP) ranged from 3.97 to 12.70x10(4) ml(-1) in the water and from 27.5 to 37.59x10(4) ml(-1) on the bottom. VLP: bacteria ratios ranged between 0.24 and 8.11, with highest ratios in the bottom assemblages. Heterotrophic nanoflagellate (HNAN) abundances were significantly lower than those of the autotrophic nanoflagellates (PNAN). Moreover, HNAN biomass was lower than bacterial biomass, indicating that the HNAN were exploiting other energy sources as well as bacteria, for example, VLP and dissolved organic carbon. The bottom material was dominated by cyanobacteria (mostly Phormidium sp.), while both the water and the bottom layer contained a small number of chlorophyte species (Chlorella sp., Cylindromonas sp. and Chlamydomonas nivalis). Ciliates were very sparse, only occurring on the bottom. On occasions, the glacier surface carried meltwater with well-developed biofilms, in which ciliates (Monodinium, Strombidium and Halteria) occurred. All of these species are found in nearby lakes. One to three rotifers were noted in the biofilm samples and in samples from three of the cryoconite holes. The assemblages of the cryoconite holes were comparable to the truncated food webs seen in Antarctic lakes, but were even more simplified and sparse in terms of biomass. Photosynthesis in the meltwater on the glacier surface ranged between 0.60 and 8.33 mug C l(-1) h(-1). Within the cryoconites, photosynthetic rates were usually highest on the bottom (0.63-156.99 mug C l(-1) h(-1)), while in the overlying water, rates ranged between 0.34 and 10.56 mug C l(-1) h(-1). Given the density of cryoconite holes (circa 6% of the glacier surface, or 12 holes m(-2)), there was significant carbon fixation and nutrient cycling occurring on the glacier, associated with cryoconite communities.</t>
  </si>
  <si>
    <t>Univ Nottingham, Sch Life &amp; Environm Sci, Nottingham NG7 2RD, England; Univ Sheffield, Dept Geog, Sheffield S10 2TN, S Yorkshire, England</t>
  </si>
  <si>
    <t>University of Nottingham; University of Sheffield</t>
  </si>
  <si>
    <t>Univ Nottingham, Sch Life &amp; Environm Sci, Nottingham NG7 2RD, England.</t>
  </si>
  <si>
    <t>J.Laybourn-Parry@nottingham.ac.uk</t>
  </si>
  <si>
    <t>Sawstrom, Christin/F-5462-2018</t>
  </si>
  <si>
    <t>Sawstrom, Christin/0000-0001-9297-3093; Hodson, Andrew/0000-0002-1255-7987</t>
  </si>
  <si>
    <t>10.1007/s00300-002-0388-5</t>
  </si>
  <si>
    <t>WOS:000177451600006</t>
  </si>
  <si>
    <t>Bernard, KS; Froneman, PW</t>
  </si>
  <si>
    <t>Mesozooplankton community structure in the Southern Ocean upstream of the Prince Edward Islands</t>
  </si>
  <si>
    <t>STRAIT ANTARCTIC PENINSULA; ATLANTIC SECTOR; AUSTRAL SUMMER; INDIAN-OCEAN; ZOOPLANKTON; PHYTOPLANKTON; ENVIRONMENT; BIOMASS; ARCHIPELAGO; MICRONEKTON</t>
  </si>
  <si>
    <t>A meso-scale oceanographic grid survey was conducted during the first cruise of the Marion Offshore Ecosystem Variability Study in the upstream region of the Prince Edward Islands in austral autumn (April/May) 2001. Mesozooplankton samples, collected using a Bongo net (fitted with 200-mum and 300-mum mesh nets), were separated into three size fractions, 200-500 mum, 500-1,000 mum, 1,000-2,000 mum, by reverse filtration. Total surface (depth&lt;5 m) chlorophyll-a concentration during the study ranged between 0.11 and 0.34 mug l(-1) and was always dominated by picophytoplankton (0.45-2.0 mum). Total mesozooplankton abundance and biomass during the survey ranged between 49 and, 1,512 ind. m(-3) and between 0.7 and 25 mg Dwt. m(-3), respectively. Throughout the survey, the 200 to 500 km class numerically dominated the mesozooplankton community, with an average of similar to69% (SD = +/-12.3%). The dominant species in the 200- to 500-mum size fraction were the copepods, Oithona similis, Calanus simillimus and Metridia lucens, and the pteropod, Limacina retroversa. However, in terms of biomass, the 1,000- to 2,000-mum group was predominant, with dry weight values constituting an average of similar to66% (SD = +/- 10.2%). The most well-represented species in this group were the carnivorous Euphausia vallentini, Thysanoessa vicina, Sagitta gazellae and Eukrohnia hamata. Three distinct groupings of stations were identified by numerical analysis. The different station groupings identified reflect changes in the relative contributions of the dominant species, as opposed to the presence/absence of species.</t>
  </si>
  <si>
    <t>Rhodes Univ, Dept Zool &amp; Entomol, So Ocean Grp, ZA-6140 Grahamstown, South Africa</t>
  </si>
  <si>
    <t>Rhodes University</t>
  </si>
  <si>
    <t>Froneman, PW (corresponding author), Rhodes Univ, Dept Zool &amp; Entomol, So Ocean Grp, POB 94, ZA-6140 Grahamstown, South Africa.</t>
  </si>
  <si>
    <t>w.froneman@ru.ac.za</t>
  </si>
  <si>
    <t>Froneman, William/C-9085-2012; Bernard, Kim S/J-2703-2013; Froneman, William/GLS-0460-2022</t>
  </si>
  <si>
    <t>Froneman, William/0000-0003-0615-1355</t>
  </si>
  <si>
    <t>10.1007/s00300-002-0380-0</t>
  </si>
  <si>
    <t>WOS:000177451600007</t>
  </si>
  <si>
    <t>Convey, P; Barnes, DKA; Morton, A</t>
  </si>
  <si>
    <t>Debris accumulation on oceanic island shores of the Scotia Arc, Antarctica</t>
  </si>
  <si>
    <t>MARINE LITTER; SOUTH GEORGIA; BIRD ISLAND</t>
  </si>
  <si>
    <t>The oceanic islands in the Southern Ocean can be considered amongst the remotest shores as, not only are they uninhabited (except for small research stations) and geographically isolated, but they are also enclosed by the oceanographic barrier of the Polar Frontal Zone. We survey island shores in the Scotia Arc mountain chain linking Antarctica to South America, including South Georgia, the South Sandwich archipelago and Adelaide Island off the west coast of the Antarctic Peninsula, and compare our findings to literature reports from two other Scotia Arc island groups (South Orkney and South Shetland archipelagos). The presence of marine pollution (in the form of beached debris) in this region is significant, both as a measure of man's influence on this isolated environment, and due to direct dangers posed to the fauna. This paper reports the results of surveys of beached marine debris at various times in the last decade for each island group. The majority (&gt; 70%) of the items recovered were anthropogenic in origin and most of these were synthetic (plastic or polystyrene). Debris densities varied from zero to 0.3 items m(-1) but were typically lower than those reported from other regions of the globe. At some localities (South Georgia), marine-debris data showed a close relationship with local fishery activity, whilst at others (South Sandwich Islands) debris appeared to have a more distant origin. Unlike oceanic debris in warm (non-polar) water localities, there was no evidence of any colonisation by biota. Debris accumulation may provide a useful indirect measure of local fishery activity and compliance with CCAMLR regulations, as well as monitoring the state of the oceans and island shores.</t>
  </si>
  <si>
    <t>Convey, P (corresponding author), British Antarctic Survey, NERC, High Cross,Madingley Rd, Cambridge CB3 0ET, England.</t>
  </si>
  <si>
    <t>10.1007/s00300-002-0391-x</t>
  </si>
  <si>
    <t>WOS:000177451600009</t>
  </si>
  <si>
    <t>McDaniel, JD; Emslie, SD</t>
  </si>
  <si>
    <t>Fluctuations in Adelie penguin prey size in the mid to late Holocene, northern Marguerite Bay, Antarctic Peninsula</t>
  </si>
  <si>
    <t>ROSS SEA; NOTOTHENIIDAE; PISCES; SEABIRDS; COLONIES; REGION; SQUID</t>
  </si>
  <si>
    <t>We investigated temporal changes in Adelie penguin prey size in northern Marguerite Bay, Antarctic Peninsula, through excavations of three abandoned and one active colony at Lagoon (67degrees35'S, 68degrees16'W) and Ginger Islands (67degrees45'S, 68degrees41'W), respectively, in austral summer 1999/2000. Radiocarbon dates on penguin bones and eggshell fragments collected at each site indicate that Lagoon Island was first occupied after 6000 BP and Ginger Island near 2275 BP. Identifiable non-krill prey remains (otoliths and squid beaks) were recovered from ornithogenic soils at all sites, with Antarctic silverfish (Pleuragramma antarcticum) and squid (Psychroteuthis glacialis) being the most abundant species represented in the deposits. Estimated mean standard lengths and mantle lengths of these two prey taxa, based on regressions with otolith and beak measurements respectively, indicate that Adelie penguins primarily select these prey within a mean size range of 95-117 mm. Prey size also varied significantly across seven occupation periods from 6000 BP to the present, but did not correlate with climate change.</t>
  </si>
  <si>
    <t>Emslie, SD (corresponding author), Univ N Carolina, Dept Biol Sci, Wilmington, NC 28403 USA.</t>
  </si>
  <si>
    <t>10.1007/s00300-002-0401-z</t>
  </si>
  <si>
    <t>WOS:000177451600010</t>
  </si>
  <si>
    <t>Takeuchi, I; Watanabe, K</t>
  </si>
  <si>
    <t>Mobile epiphytic invertebrates inhabiting the brown macroalga, Desmarestia chordalis under the coastal fast ice of Lutzow-Holm Bay, East Antarctica</t>
  </si>
  <si>
    <t>TERRA-NOVA BAY; VESTFOLD HILLS; ROSS SEA; ASSOCIATIONS; ASSEMBLAGES</t>
  </si>
  <si>
    <t>The species composition of mobile epiphytic animals inhabiting the brown alga, Desmarestia chordalis Hooker and Harvey, in Lutzow-Holm Bay, East Antarctica, was investigated. A total of 797 individual invertebrates in 22 taxa were collected from 3 clumps of algae. The assemblage was dominated by two amphipod crustaceans, Prostebbingia sp. and Haplocheira plumosa Stebbing, which composed 70.3% of the total number of individuals, followed by a gastropod species, Skenella paludinoides (Smith). The species composition differs from those found in previous studies conducted in Prydz Bay and Ross Sea, suggesting the existence of various types of epifaunal communities along the East-Antarctic coast.</t>
  </si>
  <si>
    <t>Ehime Univ, Fac Agr, Dept Life Environm Conservat, Matsuyama, Ehime 7908566, Japan; Natl Inst Polar Res, Itabashi Ku, Tokyo 1738515, Japan</t>
  </si>
  <si>
    <t>Ehime University; Research Organization of Information &amp; Systems (ROIS); National Institute of Polar Research (NIPR) - Japan</t>
  </si>
  <si>
    <t>Takeuchi, I (corresponding author), Ehime Univ, Fac Agr, Dept Life Environm Conservat, 3-5-7 Tarumi, Matsuyama, Ehime 7908566, Japan.</t>
  </si>
  <si>
    <t>Watanabe, Kentaro/0000-0002-5177-0086</t>
  </si>
  <si>
    <t>10.1007/s00300-002-0373-z</t>
  </si>
  <si>
    <t>WOS:000177451600011</t>
  </si>
  <si>
    <t>Pavlova, K; Angelova, G; Savova, I; Grigorova, D; Kupenov, L</t>
  </si>
  <si>
    <t>Studies of Antarctic yeast for β-glucosidase production</t>
  </si>
  <si>
    <t>WORLD JOURNAL OF MICROBIOLOGY &amp; BIOTECHNOLOGY</t>
  </si>
  <si>
    <t>Antarctica; exocellular and endocellular beta-glucosidases; Livingston Island; taxonomy; yeast</t>
  </si>
  <si>
    <t>STRAIN; PURIFICATION</t>
  </si>
  <si>
    <t>Moss and lichen samples from the region of the Bulgarian base on Livingston Island, Antarctica were examined for the presence of yeasts. Six pure cultures were obtained. They were screened for beta-glucosidase production and two of them were selected. These were identified as Cryptococcus albidus AL(2) and C. albidus AL(3), according to their morphology, reproductive behaviour, and growth at different temperatures, salt concentrations, nutritional characteristics and various biochemical tests. These strains were examined for biosynthesis of beta-glucosidase on different carbon sources under aerobic conditions. High exocellular and endocellular activities were obtained when they were grown on cellobiose, methyl-beta-D-glucopyranoside and salicin. The time course of growth and beta-glucosidase production of the yeast was examined by cultivation in a medium with cellobiose under aerobic conditions at temperatures 18 and 24 degreesC for 96 h. Cryptococcus albidus AL(2) and C. albidus AL(3) synthesized exocellular enzyme, respectively 58.33 and 55.83 U/ml and endocellular enzyme 137.75 and 205.34 U/ml at 24 degreesC for 72 h of the cultivation.</t>
  </si>
  <si>
    <t>Bulgarian Acad Sci, Inst Microbiol, Appl Microbiol Lab, Plovdiv 4002, Bulgaria; Higher Inst Food &amp; Flavour Ind, Dept Microbiol, Plovdiv 4002, Bulgaria; Natl Bank Ind Microorganisms &amp; Cell Cultures, Sofia 1113, Bulgaria</t>
  </si>
  <si>
    <t>Medical University Plovdiv; Bulgarian Academy of Sciences; Agricultural Academy - Bulgaria; University of Food Technology - Bulgaria; National Bank for Industrial Microorganisms &amp; Cell Cultures (NBIMCC)</t>
  </si>
  <si>
    <t>Bulgarian Acad Sci, Inst Microbiol, Appl Microbiol Lab, 26 Maritza Blvd, Plovdiv 4002, Bulgaria.</t>
  </si>
  <si>
    <t>lbpmbas@plov.omega.bg</t>
  </si>
  <si>
    <t>Angelova, Galena/0000-0003-1452-8116</t>
  </si>
  <si>
    <t>0959-3993</t>
  </si>
  <si>
    <t>1573-0972</t>
  </si>
  <si>
    <t>WORLD J MICROB BIOT</t>
  </si>
  <si>
    <t>World J. Microbiol. Biotechnol.</t>
  </si>
  <si>
    <t>10.1023/A:1016337529488</t>
  </si>
  <si>
    <t>Biotechnology &amp; Applied Microbiology</t>
  </si>
  <si>
    <t>573GN</t>
  </si>
  <si>
    <t>WOS:000176821100012</t>
  </si>
  <si>
    <t>Barbini, R; Colao, F; Lazic, V; Fantoni, R; Palucci, A; Angelone, M</t>
  </si>
  <si>
    <t>On board LIBS analysis of marine sediments collected during the XVI Italian campaign in Antarctica</t>
  </si>
  <si>
    <t>1st Euro-Mediterranean Symposium on Laser-Induced Breakdown Spectroscopy</t>
  </si>
  <si>
    <t>NOV 02-06, 2001</t>
  </si>
  <si>
    <t>CAIRO, EGYPT</t>
  </si>
  <si>
    <t>laser-induced breakdown spectroscopy (LIBS); sediments; distribution; Antarctica; Ross Sea</t>
  </si>
  <si>
    <t>ROSS SEA</t>
  </si>
  <si>
    <t>The Laser-induced Breakdown Spectroscopy technique was applied on board the R/V Italica during the XVI Antarctic campaign (2000-2001) to carry out elemental chemical analysis of marine sediments collected using different sampling systems. To this end, a compact system has been built, which was suitable to operate also in the presence of mechanical vibrations, induced by the ship motion. Qualitative and quantitative analyses were performed on dried samples, without any further pre-treatment. Qualitative analyses have shown similar elemental composition among different collected sediments, except for significant differences in the case of rock fragments and manganese nodule. The latter also contains some heavy metals that in sediment layers were detected only in traces. The methodology to retrieve relative or absolute elemental concentration in heterogenous samples has been optimized and is scarcely sensitive to variations of sediment physical properties with depth, and to experimental parameters such as laser defocusing because of surface irregularities, and laser energy fluctuations. The relative distribution of the major elemental constituents, both from a bio-organic and mineral origin, was measured as a function of sediment depth. Measurements, once limited to specific spectral sections, and data analyses are fast and very reproducible. Most of the elements show a gradually varying distribution along the sampled core, except for silicon and barium, whose steep decrease with depth is strongly related to their biogenic origin. Quantitative LIBS analyses were performed on a limited number of samples and the results reported here, are comparable to the certified element contents in a reference sample of Antarctic sediments. (C) 2002 Elsevier Science B.V. All rights reserved.</t>
  </si>
  <si>
    <t>ENEA, CR Frascati, Div FISSPET, I-00044 Frascati, Rome, Italy; ENEA, CR Casaccia, Div TEIN CHIM, I-00060 Rome, Italy</t>
  </si>
  <si>
    <t>Italian National Agency New Technical Energy &amp; Sustainable Economics Development; Italian National Agency New Technical Energy &amp; Sustainable Economics Development</t>
  </si>
  <si>
    <t>ENEA, CR Frascati, Div FISSPET, Via E Fermi 45, I-00044 Frascati, Rome, Italy.</t>
  </si>
  <si>
    <t>lazic@frascati.enea.it</t>
  </si>
  <si>
    <t>lazic, violeta/S-2985-2019</t>
  </si>
  <si>
    <t>lazic, violeta/0000-0002-0823-0359; PALUCCI, ANTONIO/0009-0006-9442-1544; Angelone, Massimo/0000-0002-1560-2851</t>
  </si>
  <si>
    <t>1873-3565</t>
  </si>
  <si>
    <t>JUL 31</t>
  </si>
  <si>
    <t>PII S0584-8547(02)00055-1</t>
  </si>
  <si>
    <t>10.1016/S0584-8547(02)00055-1</t>
  </si>
  <si>
    <t>595PJ</t>
  </si>
  <si>
    <t>WOS:000178117700010</t>
  </si>
  <si>
    <t>Ninnemann, US; Charles, CD</t>
  </si>
  <si>
    <t>Changes in the mode of Southern Ocean circulation over the last glacial cycle revealed by foraminiferal stable isotopic variability</t>
  </si>
  <si>
    <t>South Atlantic; foraminifera; stable isotopes; ocean circulation</t>
  </si>
  <si>
    <t>DEEP-WATER CIRCULATION; ANTARCTIC ICE CORE; ATMOSPHERIC CO2; INDIAN-OCEAN; THERMOHALINE CIRCULATION; NORTH-ATLANTIC; SEA-ICE; CLIMATE; INTERMEDIATE; PACIFIC</t>
  </si>
  <si>
    <t>Benthic foraminiferal oxygen and carbon isotopic records from Southern Ocean sediment cores show that during the last glacial period, the South Atlantic sector of the deep Southern Ocean filled to roughly 2500 m with water uniformly low in VC, resulting in the appearance of a strong mid-depth nutricline similar to those observed in glacial northern oceans. Concomitantly, deep water isotopic gradients developed between the Pacific and Atlantic sectors of the Southern Ocean; the delta(13)C of benthic foraminifera in Pacific sediments remained significantly higher than those in the Atlantic during the glacial episode. These two observations help to define the extent of what has become known as the 'Southern Ocean low delta(13)C problem'. One explanation for this glacial distribution of delta(13)C calls upon surface productivity overprints or changes in the microhabitat of benthic foraminifera to lower glacial age delta(13)C values. We show here, however, that glacial-interglacial delta(13)C shifts are similarly large everywhere in the deep South Atlantic, regardless of productivity regime or sedimentary environment. Furthermore, the degree of isotopic decoupling between the Atlantic and Pacific basins is proportional to the magnitude of delta(13)C change in the Atlantic on all time scales. Thus, we conclude that the profoundly altered distribution of delta(13)C in the glacial Southern Ocean is most likely the result of deep ocean circulation changes. While the characteristics of the Southern Ocean delta(13)C records clearly point to reduced North Atlantic Deep Water input during glacial periods, the basinal differences suggest that the mode of Southern Ocean deep water formation must have been altered as well. (C) 2002 Elsevier Science B.V. All rights reserved.</t>
  </si>
  <si>
    <t>Scripps Inst Oceanog, La Jolla, CA USA</t>
  </si>
  <si>
    <t>Lamont Doherty Earth Observ, Palisades, NY USA.</t>
  </si>
  <si>
    <t>ulysses@ldeo.columbia.edu</t>
  </si>
  <si>
    <t>JUL 30</t>
  </si>
  <si>
    <t>PII S0012-821X(02)00708-2</t>
  </si>
  <si>
    <t>10.1016/S0012-821X(02)00708-2</t>
  </si>
  <si>
    <t>581RN</t>
  </si>
  <si>
    <t>WOS:000177306800009</t>
  </si>
  <si>
    <t>Harland, R; Pudsey, CJ</t>
  </si>
  <si>
    <t>Protoperidiniacean dinoflagellate cyst taxa from the Upper Miocene of ODP Leg 178, Antarctic Peninsula</t>
  </si>
  <si>
    <t>REVIEW OF PALAEOBOTANY AND PALYNOLOGY</t>
  </si>
  <si>
    <t>Ocean Drilling Program; Miocene; Antarctica; Southern Ocean; dinotlagellate cysts; Protoperidiniaceae; palaeoceanography</t>
  </si>
  <si>
    <t>SURFACE SEDIMENTS; FALKLAND TROUGH; LATE QUATERNARY; PACIFIC MARGIN; WEDDELL; SEA; SCOTIA; OCEAN; DRIFT</t>
  </si>
  <si>
    <t>Protoperidiniacean dinoflagellate cysts have been recovered from Upper Miocene sediments of Hole 1095, ODP Leg 178, drilled to the west of the Antarctic Peninsula. These cysts make up virtually the entire dinoflagellate cyst assemblages, and three new species are formally described herein as Selenopemphix bothrion sp. nov., Selenopemphix kepion sp. nov. and Selenopemphix minys sp. nov., together with one informal taxon and two species attributed to published taxa. The occurrence of Late Miocene protoperidiniacean-dominated assemblages in the vicinity of the Antarctic continent is of special interest. Their presence may indicate the initiation of the Antarctic Circumpolar Current and increased nutrient supply within the Southern Ocean as the Antarctic Divergence became established. A comparison with several other protoperidiniacean dinoflagellate assemblages of similar age in other parts of the world rovides some preliminary evidence for possible concomitant oceanographic change at this time. (C) 2002 Elsevier Science B.V. All rights reserved.</t>
  </si>
  <si>
    <t>DinoData Serv, Nottingham NG13 8AH, England; Univ Sheffield, Dept Anim &amp; Plant Sci, Palynol Res Facil, Sheffield S10 2TN, S Yorkshire, England; British Antarctic Survey, Cambridge CB3 0ET, England</t>
  </si>
  <si>
    <t>University of Sheffield; UK Research &amp; Innovation (UKRI); Natural Environment Research Council (NERC); NERC British Antarctic Survey</t>
  </si>
  <si>
    <t>DinoData Serv, 50 Long Acre, Nottingham NG13 8AH, England.</t>
  </si>
  <si>
    <t>rex.harland@ntlworld.com</t>
  </si>
  <si>
    <t>0034-6667</t>
  </si>
  <si>
    <t>1879-0615</t>
  </si>
  <si>
    <t>REV PALAEOBOT PALYNO</t>
  </si>
  <si>
    <t>Rev. Palaeobot. Palynology</t>
  </si>
  <si>
    <t>PII S0034-6667(02)00080-5</t>
  </si>
  <si>
    <t>10.1016/S0034-6667(02)00080-5</t>
  </si>
  <si>
    <t>Plant Sciences; Paleontology</t>
  </si>
  <si>
    <t>593ZE</t>
  </si>
  <si>
    <t>WOS:000178023700006</t>
  </si>
  <si>
    <t>Survival mechanisms in Antarctic lakes</t>
  </si>
  <si>
    <t>PHILOSOPHICAL TRANSACTIONS OF THE ROYAL SOCIETY B-BIOLOGICAL SCIENCES</t>
  </si>
  <si>
    <t>Discussion Meeting on Coping with the Cold</t>
  </si>
  <si>
    <t>SEP 26-27, 2001</t>
  </si>
  <si>
    <t>ROYAL SOC, LONDON, ENGLAND</t>
  </si>
  <si>
    <t>mixotrophy; phytoflagellates; ciliates; bacteria</t>
  </si>
  <si>
    <t>METALIMNETIC CRYPTOMONAS POPULATION; FRESH-WATER; MESODINIUM-RUBRUM; MICROBIAL PLANKTON; ACE LAKE; DYNAMICS; PHYTOPLANKTON; CILIATE; ICE; CILIOPHORA</t>
  </si>
  <si>
    <t>In Antarctic lakes, organisms are confronted by continuous low temperatures as well as a poor light climate and nutrient limitation. Such extreme environments support truncated food webs with no fish, few metazoans and a dominance of microbial plankton. The key to success lies in entering the short Antarctic summer with actively growing populations. In many cases, the most successful organisms continue to function throughout the year. The few crustacean zooplankton remain active in the winter months, surviving on endogenous energy reserves and, in some cases, continuing development. Among the Protozoa, mixotrophy is an important nutritional strategy. In the extreme lakes of the McMurdo Dry Valleys, planktonic cryptophytes are forced to sustain a mixotrophic strategy and cannot survive by photosynthesis alone. The dependence on ingesting bacteria varies seasonally and with depth in the water column. In the Vestfold Hills, Pyramimonas, which dominates the plankton of some of the saline lakes, also resorts to mixotrophy, but does become entirely photosynthetic at mid-summer. Mixotrophic ciliates are also common and the entirely photosynthetic ciliate Mesodinium rubrum has a widespread distribution in the saline lakes of the Vestfold Hills, where it attains high concentrations. Bacteria continue to grow all year, showing cycles that appear to be related to the availability of dissolved organic carbon. In saline lakes, bacteria experience sub-zero temperatures for long periods of the year and have developed biochemical adaptations that include anti-freeze proteins, changes in the concentrations of polyunsaturated fatty acids in their membranes and suites of low-temperature enzymes.</t>
  </si>
  <si>
    <t>Univ Nottingham, Sch Life &amp; Environm Sci, Univ Pk, Nottingham NG7 2RD, England.</t>
  </si>
  <si>
    <t>j.layboum-pany@nottingham.ac.uk</t>
  </si>
  <si>
    <t>0962-8436</t>
  </si>
  <si>
    <t>1471-2970</t>
  </si>
  <si>
    <t>PHILOS T R SOC B</t>
  </si>
  <si>
    <t>Philos. Trans. R. Soc. B-Biol. Sci.</t>
  </si>
  <si>
    <t>JUL 29</t>
  </si>
  <si>
    <t>10.1098/rstb.2002.1075</t>
  </si>
  <si>
    <t>578RF</t>
  </si>
  <si>
    <t>WOS:000177132200006</t>
  </si>
  <si>
    <t>D'Amico, S; Claverie, P; Collins, T; Georlette, D; Gratia, E; Hoyoux, A; Meuwis, MA; Feller, G; Gerday, C</t>
  </si>
  <si>
    <t>Molecular basis of cold adaptation</t>
  </si>
  <si>
    <t>cold adaptation; psychrophiles; extremophiles; enzymes; microcalorimetry; directed evolution</t>
  </si>
  <si>
    <t>PSYCHROPHILE PSEUDOALTEROMONAS-HALOPLANKTIS; SITE-DIRECTED MUTAGENESIS; ALPHA-AMYLASE; ANTARCTIC BACTERIUM; THERMAL-STABILITY; CRYSTAL-STRUCTURE; 3-ISOPROPYLMALATE DEHYDROGENASE; CONFORMATIONAL FLEXIBILITY; TRYPTOPHAN PHOSPHORESCENCE; ALTEROMONAS-HALOPLANCTIS</t>
  </si>
  <si>
    <t>Cold-adapted, or psychrophilic, organisms are able to thrive at low temperatures in permanently cold environments, which in fact characterize the greatest proportion of our planet. Psychrophiles include both prokaryotic and eukaryotic organisms and thus represent a significant proportion of the living world. These organisms produce cold-evolved enzymes that are partially able to cope with the reduction in chemical reaction rates induced by low temperatures. As a rule, cold-active enzymes display a high catalytic efficiency, associated however, with a low thermal stability. In most cases, the adaptation to cold is achieved through a reduction in the activation energy that possibly originates from an increased flexibility of either a selected area or of the overall protein structure. This enhanced plasticity seems in turn to be induced by the weak thermal stability of psychrophilic enzymes. The adaptation strategies are beginning to be understood thanks to recent advances in the elucidation of the molecular characteristics of cold-adapted enzymes derived from X-ray crystallography, protein engineering and biophysical methods. Psychrophilic organisms and their enzymes have, in recent years, increasingly attracted the attention of the scientific community due to their peculiar properties that render them particularly useful in investigating the possible relationship existing between stability, flexibility and specific activity and as valuable tools for biotechnological purposes.</t>
  </si>
  <si>
    <t>Univ Liege, Inst Chem B6, Biochem Lab, B-4000 Liege, Belgium</t>
  </si>
  <si>
    <t>Univ Liege, Inst Chem B6, Biochem Lab, B-4000 Liege, Belgium.</t>
  </si>
  <si>
    <t>Collins, Tony/A-3484-2012</t>
  </si>
  <si>
    <t>Collins, Tony/0000-0002-4167-973X</t>
  </si>
  <si>
    <t>10.1098/rstb.2002.1105</t>
  </si>
  <si>
    <t>WOS:000177132200017</t>
  </si>
  <si>
    <t>Marahiel, MA; Laybourn-Parry, J; Haymet, T; Quick, P; Benson, E</t>
  </si>
  <si>
    <t>Survival mechanisms in Antarctic lakes - Discussion</t>
  </si>
  <si>
    <t>PHILOSOPHICAL TRANSACTIONS OF THE ROYAL SOCIETY OF LONDON SERIES B-BIOLOGICAL SCIENCES</t>
  </si>
  <si>
    <t>Univ Marburg, Dept Chem, Marburg, Germany; Univ Houston, Dept Chem, Houston, TX USA; Univ Sheffield, Dept Anim &amp; Plant Sci, Sheffield S10 2TN, S Yorkshire, England; Univ Abertay, Div Mol &amp; Life Sci, Dundee, Scotland</t>
  </si>
  <si>
    <t>Philipps University Marburg; University of Houston System; University of Houston; University of Sheffield; University of Abertay Dundee</t>
  </si>
  <si>
    <t>Marahiel, MA (corresponding author), Univ Marburg, Dept Chem, Marburg, Germany.</t>
  </si>
  <si>
    <t>Haymet, Anthony/A-9881-2009</t>
  </si>
  <si>
    <t>Haymet, Anthony/0000-0002-5617-2106</t>
  </si>
  <si>
    <t>ROYAL SOC LONDON</t>
  </si>
  <si>
    <t>6 CARLTON HOUSE TERRACE, LONDON SW1Y 5AG, ENGLAND</t>
  </si>
  <si>
    <t>PHILOS T ROY SOC B</t>
  </si>
  <si>
    <t>Philos. Trans. R. Soc. Lond. Ser. B-Biol. Sci.</t>
  </si>
  <si>
    <t>WOS:000177132200007</t>
  </si>
  <si>
    <t>Riccio, A; Vitagliano, L; di Prisco, G; Zagari, A; Mazzarella, L</t>
  </si>
  <si>
    <t>The crystal structure of a tetrameric hemoglobin in a partial hemichrome state</t>
  </si>
  <si>
    <t>PROCEEDINGS OF THE NATIONAL ACADEMY OF SCIENCES OF THE UNITED STATES OF AMERICA</t>
  </si>
  <si>
    <t>protein denaturation; protein function; x-ray structure; Antarctic</t>
  </si>
  <si>
    <t>FISH PAGOTHENIA-BERNACCHII; OXYGEN-BINDING; T-STATE; TREMATOMUS-NEWNESI; LIGAND-BINDING; STEREOCHEMISTRY; DEOXYHEMOGLOBIN; RESOLUTION; TRANSITION; RESONANCE</t>
  </si>
  <si>
    <t>Tetrameric hemoglobins are the most widely used systems in studying protein cooperativity. Allosteric effects in hemoglobins arise from the switch between a relaxed (R) state and a tense (T) state occurring upon oxygen release. Here we report the 2.0-Angstrom crystal structure of the main hemoglobin component of the Antarctic fish Trematomus newnesi, in a partial hemichrome form. The two alpha-subunit iron atoms are bound to a CO molecule, whereas in the beta subunits the distal histidine residue is the sixth ligand of the heme iron. This structure, a tetrameric hemoglobin in the hemichrome state, demonstrates that the iron coordination by the distal histidine, usually associated with denaturing states, may be tolerated in a native-like hemoglobin structure. In addition, several features of the tertiary and quaternary organization of this structure are intermediate between the R and T states and agree well with the R --&gt; T transition state properties obtained by spectroscopic and kinetic techniques. The analysis of this structure provides a detailed pathway of heme-heme communication and it indicates that the plasticity of the beta heme pocket plays a role in the R --&gt; T transition of tetrameric hemoglobins.</t>
  </si>
  <si>
    <t>CNR, Ist Biochim Prot Enzimol, I-80125 Naples, Italy; CNR, Ist Biostrutt &amp; Bioimmagini, I-80134 Naples, Italy; Univ Naples Federico II, Dipartimento Chim Biol, I-80134 Naples, Italy; Biotecnol Avanzate SCARL, Ctr Ingn Genet, I-80131 Naples, Italy</t>
  </si>
  <si>
    <t>Consiglio Nazionale delle Ricerche (CNR); Istituto di Biochimica delle Proteine (IBP-CNR); Consiglio Nazionale delle Ricerche (CNR); Istituto di Biostrutture e Bioimmagini (IBB-CNR); University of Naples Federico II; CEINGE Biotecnologie Avanzate</t>
  </si>
  <si>
    <t>Mazzarella, L (corresponding author), Univ Naples Federico II, Dipartimento Chim, Complesso Univ Monte Sant Angelo,Via Cinthia, I-80126 Naples, Italy.</t>
  </si>
  <si>
    <t>NATL ACAD SCIENCES</t>
  </si>
  <si>
    <t>2101 CONSTITUTION AVE NW, WASHINGTON, DC 20418 USA</t>
  </si>
  <si>
    <t>0027-8424</t>
  </si>
  <si>
    <t>P NATL ACAD SCI USA</t>
  </si>
  <si>
    <t>Proc. Natl. Acad. Sci. U. S. A.</t>
  </si>
  <si>
    <t>JUL 23</t>
  </si>
  <si>
    <t>10.1073/pnas.132182099</t>
  </si>
  <si>
    <t>577DG</t>
  </si>
  <si>
    <t>WOS:000177042400038</t>
  </si>
  <si>
    <t>Jacobs, SS; Giulivi, CF; Mele, PA</t>
  </si>
  <si>
    <t>Freshening of the Ross Sea during the late 20th century</t>
  </si>
  <si>
    <t>ICE SHELF; PACK-ICE; VARIABILITY; OCEAN; AMUNDSEN; PACIFIC; GLACIER; CLIMATE</t>
  </si>
  <si>
    <t>Ocean measurements in the Ross Sea over the past four decades, one of the longest records near Antarctica, reveal marked decreases in shelf water salinity and the surface salinity within the Ross Gyre. These changes have been accompanied by atmospheric warming on Ross Island, ocean warming at depths of similar to300 meters north of the continental shelf, a more negative Southern Oscillation Index, and thinning of southeast Pacific ice shelves. The freshening appears to have resulted from a combination of factors, including increased precipitation, reduced sea ice production, and increased melting of the West Antarctic Ice Sheet.</t>
  </si>
  <si>
    <t>Columbia Univ, Lamont Doherty Earth Observ, Palisades, NY 10964 USA</t>
  </si>
  <si>
    <t>sjacobs@ldeo.columbia.edu</t>
  </si>
  <si>
    <t>JUL 19</t>
  </si>
  <si>
    <t>10.1126/science.1069574</t>
  </si>
  <si>
    <t>574LV</t>
  </si>
  <si>
    <t>WOS:000176892600047</t>
  </si>
  <si>
    <t>Bargu, S; Powell, CL; Coale, SL; Busman, M; Doucette, GJ; Silver, MW</t>
  </si>
  <si>
    <t>Krill: a potential vector for domoic acid in marine food webs</t>
  </si>
  <si>
    <t>krill; Pseudo-nitzschia; domoic acid; harmful algal blooms; toxic algae; trophic transfer; food webs</t>
  </si>
  <si>
    <t>PSEUDO-NITZSCHIA BACILLARIOPHYCEAE; CRAB CANCER-MAGISTER; LIQUID-CHROMATOGRAPHY; FEEDING-BEHAVIOR; ANTARCTIC KRILL; SEA LIONS; COPEPOD; TOXINS; ACCUMULATION; ZOOPLANKTON</t>
  </si>
  <si>
    <t>Over the past decade, blooms of the domoic acid (DA) producing diatom Pseudonitzschia have been responsible for numerous deaths of marine mammals and birds in Monterey Bay, California. Euphausiids (krill) are important members of the local zooplankton grazer community and comprise the primary diet of squid, baleen whales, and many seabirds. Krill are thus a key potential vector for the transfer of DA to higher trophic level organisms in Monterey Bay. A better understanding of the quantitative trophic interactions and body burden of DA in krill is required to predict whether they tan act as an effective vector for this neurotoxin. Here we report results of toxin analyses and gut content examinations of krill Euphausia pacifica collected from Monterey Bay in 2000. Corresponding counts of toxic Pseudo-nitzschia species in the water and their cellular DA concentrations were also obtained at the collection sites. Toxin analysis by receptor binding assay demonstrated that DA in krill tissue varied between 0.1 to 44 mug DA equiv. g(-1) tissue (confirmed by tandem mass spectrometry), with levels corresponding to the abundance of toxic Pseudo-nitzschia species present in the water. The occurrence of Pseudo-nitzschia australis frustules in the digestive tract of E. pacifica verified that a toxic species of this diatom was an important part of their diet and thus implicated this phytoplankter as the source of DA. These findings provide compelling evidence for the role of krill as a potential transfer agent of the phycotoxin DA to higher trophic levels in marine food web.</t>
  </si>
  <si>
    <t>Univ Calif Santa Cruz, Dept Ocean Sci, Santa Cruz, CA 95064 USA; NOAA, Marine Biotoxins Program, NOS Ctr Coastal Environm Hlth &amp; Biomol Res, Charleston, SC 29412 USA</t>
  </si>
  <si>
    <t>University of California System; University of California Santa Cruz; National Oceanic Atmospheric Admin (NOAA) - USA</t>
  </si>
  <si>
    <t>Univ Calif Santa Cruz, Dept Ocean Sci, 1156 High St, Santa Cruz, CA 95064 USA.</t>
  </si>
  <si>
    <t>sibelbargu@hotmail.com</t>
  </si>
  <si>
    <t>Busman, Mark/AAH-3042-2022; Doucette, Gregory J/M-3283-2013; Busman, Mark/AFM-0629-2022</t>
  </si>
  <si>
    <t>Busman, Mark/0000-0001-9750-064X</t>
  </si>
  <si>
    <t>JUL 18</t>
  </si>
  <si>
    <t>10.3354/meps237209</t>
  </si>
  <si>
    <t>585QD</t>
  </si>
  <si>
    <t>WOS:000177535300019</t>
  </si>
  <si>
    <t>Gauthier-Clerc, M; Le Maho, Y; Clerquin, Y; Bost, CA; Handrich, Y</t>
  </si>
  <si>
    <t>Seabird reproduction in an unpredictable environment: how King penguins provide their young chicks with food</t>
  </si>
  <si>
    <t>pelagic seabird; food provisioning; foraging trip; polar front; diet composition; Crozet; ecophysiology</t>
  </si>
  <si>
    <t>ANTARCTIC POLAR FRONT; APTENODYTES-PATAGONICUS; SEASONAL-CHANGE; SOUTHERN-OCEAN; INDIAN SECTOR; TEMPERATURE; ENERGETICS; DYNAMICS; BEHAVIOR; ECOLOGY</t>
  </si>
  <si>
    <t>Pelagic seabirds depend on resources far out at sea and for which the availability can vary greatly. King penguins rely essentially on myctophid fish, which in summer are mostly available 400 to 500 km south of the Crozet Archipelago at the Antarctic Polar Front. Incubating male King penguins anticipate a possible delay in the return of the female by storing food in their stomach for several weeks, which enables them to feed the chick quickly if hatching occurs. We investigated the foraging trip duration, adult body mass regulation and the meal size for chicks relative to the laying date and the Polar Front position. We compared, in both early and late breeders, the energy content and the chemical and diet composition of the meals stored in their stomachs. During food storage by the male, the cessation of digestive processes was not complete as the meal showed some modifications of the biochemical composition, especially a decrease in lipid content; this is in contrast to oil storage in albatrosses and petrels, in which there is an increase in lipid content. On average, females came back from their second foraging trip at sea a short time before hatching. However, the trip durations were particularly variable depending on date and year, and as a consequence hatching occurred with either the female or the male incubating the egg. Late breeders showed longer foraging trip duration and built up larger fuel reserves than early breeders. Their energetic output per day foraging at sea was much lower than for early breeders. These differences in foraging trip durations of males were linked to a change in marine resource availability because, in spite of being at the same stage of the breeding cycle, male late breeders caught different prey compared to male early breeders. We assume that this strategy of long-term food storage and conservation in the stomach while fasting evolved in response to the unpredictable variations of water mass positions.</t>
  </si>
  <si>
    <t>Gauthier-Clerc, M (corresponding author), Stn Biol Tour Valat, F-13200 Arles, France.</t>
  </si>
  <si>
    <t>michel.gauthier-clerc@wanadoo.fr</t>
  </si>
  <si>
    <t>Handrich, Yves/AAD-6472-2022</t>
  </si>
  <si>
    <t>10.3354/meps237291</t>
  </si>
  <si>
    <t>WOS:000177535300026</t>
  </si>
  <si>
    <t>Turner, J; King, JC; Lachlan-Cope, TA; Jones, PD</t>
  </si>
  <si>
    <t>Climate change - Recent temperature trends in the Antarctic</t>
  </si>
  <si>
    <t>British Antarctic Survey, NERC, Cambridge CB3 0ET, England; Univ E Anglia, Climat Res Unit, Norwich NR4 7TJ, Norfolk, England</t>
  </si>
  <si>
    <t>UK Research &amp; Innovation (UKRI); Natural Environment Research Council (NERC); NERC British Antarctic Survey; University of East Anglia</t>
  </si>
  <si>
    <t>Turner, J (corresponding author), British Antarctic Survey, NERC, Cambridge CB3 0ET, England.</t>
  </si>
  <si>
    <t>Jones, Philip Douglas/0000-0001-5032-5493; McKay, Christopher/0000-0002-6243-1362; MCKNIGHT, DIANE/0000-0002-4171-1533; Walsh, John/0000-0001-9541-5927</t>
  </si>
  <si>
    <t>10.1038/418291b</t>
  </si>
  <si>
    <t>574BF</t>
  </si>
  <si>
    <t>WOS:000176868000032</t>
  </si>
  <si>
    <t>Walsh, JE; Doran, PT; Priscu, JC; Lyons, WB; Fountain, AG; McKnight, DM; Moorhead, DL; Virginia, RA; Wall, DH; Clow, GD; Fritsen, CH; McKay, CP; Parsons, AN</t>
  </si>
  <si>
    <t>Univ Illinois, Dept Earth &amp; Environm Sci, Chicago, IL 60607 USA</t>
  </si>
  <si>
    <t>University of Illinois System; University of Illinois Chicago; University of Illinois Chicago Hospital</t>
  </si>
  <si>
    <t>Doran, PT (corresponding author), Univ Illinois, Dept Earth &amp; Environm Sci, Chicago, IL 60607 USA.</t>
  </si>
  <si>
    <t>Walsh, John/GQI-2785-2022; Wall, Diana H/F-5491-2011</t>
  </si>
  <si>
    <t>Walsh, John/0000-0002-2510-8734; McKay, Christopher/0000-0002-6243-1362; Walsh, John/0000-0001-9541-5927</t>
  </si>
  <si>
    <t>10.1038/418292a</t>
  </si>
  <si>
    <t>WOS:000176868000033</t>
  </si>
  <si>
    <t>Joseph, LH; Rea, DK; van der Pluijm, BA; Gleason, JD</t>
  </si>
  <si>
    <t>Antarctic environmental variability since the late Miocene: ODP Site 745, the East Kerguelen sediment drift</t>
  </si>
  <si>
    <t>East Antarctica; Antarctic ice sheet; Kerguelen Plateau; sediments; Pliocene; Paleoclimatology; ODP site 745</t>
  </si>
  <si>
    <t>ICE-SHEET; GRAIN-SIZE; COMPONENT; OCEAN</t>
  </si>
  <si>
    <t>Characterization of sediment from Ocean Drilling Program Site 745, representing the East Kerguelen Ridge sediment drift, addresses important issues surrounding the timing of Miocene to present East Antarctic ice sheet stability and oceanic environmental change. Our results show three periods of greatly enhanced accumulation of Antarctic-derived sediment, at 6.4-5.9 Ma, 4.9-4.4 Ma and 1.1-0.8 Ma, potentially indicative of warmer, less stable ice sheets at these times. Conversely, the accumulation of Antarctic-derived material is comparatively less during the middle of the Pliocene warm epoch (4.8-3.2 Ma). The deep flow forming the Kerguelen drift was stronger during the latest Miocene and earliest Pliocene and has decreased in intensity continuously since then. (C) 2002 Elsevier Science B.V. All rights reserved.</t>
  </si>
  <si>
    <t>Univ Michigan, Dept Geol Sci, Ann Arbor, MI 48109 USA</t>
  </si>
  <si>
    <t>Hobart &amp; William Smith Coll, Environm Studies Program, Geneva, NY 14456 USA.</t>
  </si>
  <si>
    <t>ljoseph@hws.edu; davidrea@umich.edu; vdpluijm@umich.edu; jdgleaso@umich.edu</t>
  </si>
  <si>
    <t>van der Pluijm, Ben/M-3155-2019</t>
  </si>
  <si>
    <t>van der Pluijm, Ben/0000-0001-7737-2791</t>
  </si>
  <si>
    <t>JUL 15</t>
  </si>
  <si>
    <t>PII S0012-821X(02)00661-1</t>
  </si>
  <si>
    <t>10.1016/S0012-821X(02)00661-1</t>
  </si>
  <si>
    <t>572NY</t>
  </si>
  <si>
    <t>WOS:000176782800011</t>
  </si>
  <si>
    <t>Mazaud, A; Sicre, MA; Ezat, U; Pichon, JJ; Duprat, J; Laj, C; Kissel, C; Beaufort, L; Michel, E; Turon, JL</t>
  </si>
  <si>
    <t>Geomagnetic-assisted stratigraphy and sea surface temperature changes in core MD94-103 (Southern Indian Ocean): possible implications for North-South climatic relationships around H4</t>
  </si>
  <si>
    <t>sea-surface temperature; climate; temperature; magnetic properties; correlation</t>
  </si>
  <si>
    <t>LAST GLACIAL PERIOD; ICE-CORE; REMANENCE ACQUISITION; ATLANTIC SEDIMENTS; GREENLAND ICE; NORDIC SEAS; RECORDS; PALEOINTENSITY; KA; RECONSTRUCTION</t>
  </si>
  <si>
    <t>New records of past sea surface temperatures (SSTs) were derived in the 30-50 kyr B.P. time interval from a core located at 45degreesS in the Southern Indian Ocean, MD94-103. To investigate the climatic phasing between the Southern Indian Ocean, the Greenland and the Antarctic ice, the magnetic signal of core MD94-103 was synchronized at better than millennial accuracy in the vicinity of the Laschamp geomagnetic to a reference record, NAPIS-75, already placed on the GISP2 age model. Coccolithophorid and diatom species abundances both point to a cooling of surface waters during H4. Specific diatoms also indicate lower salinity waters during the same time interval. These observations do not support the idea that the South hemisphere warmed 1.5-2 kyr before the North hemisphere (Nature 394 (1998) 739). Rather, alkenone-derived SSTs suggest that cold conditions have characterized the surface waters in the south latitudes during H4 and H5, and that temperature at evaporation sites contributed to the isotopic events A1 and A2 visible in the isotopic records of central Antarctica (Earth Planet. Sci. Lett. 177 (2000) 219). SSTs obtained from foraminifera assemblages depict somewhat different temperature patterns, possibly indicative of water stratification. (C) 2002 Elsevier Science B.V. All rights reserved.</t>
  </si>
  <si>
    <t>CEA, CNRS, Lab Sci Climat &amp; Environm, F-91198 Gif Sur Yvette, France; Univ Bordeaux 1, Dept Geol &amp; Oceanog, UMR 5805, F-33405 Talence, France; CNRS, CEREGE, UMR6536, F-13545 Aix En Provence, France</t>
  </si>
  <si>
    <t>Universite Paris Saclay; CEA; Centre National de la Recherche Scientifique (CNRS); Universite de Bordeaux; Centre National de la Recherche Scientifique (CNRS); CNRS - National Institute for Earth Sciences &amp; Astronomy (INSU); Aix-Marseille Universite; Centre National de la Recherche Scientifique (CNRS)</t>
  </si>
  <si>
    <t>Mazaud, A (corresponding author), CEA, CNRS, Lab Sci Climat &amp; Environm, Domaine CNRS, F-91198 Gif Sur Yvette, France.</t>
  </si>
  <si>
    <t>Marie-Alexandrine, Sicre/AAR-1516-2020; Beaufort, Luc/AAH-5305-2021; Beaufort, Luc/ABG-2289-2021; Catherine, Kissel/AAH-1647-2019</t>
  </si>
  <si>
    <t>Marie-Alexandrine, Sicre/0000-0002-5015-1400; Beaufort, Luc/0000-0001-6055-9373; Catherine, Kissel/0000-0002-2572-2742</t>
  </si>
  <si>
    <t>PII S0012-821X(02)00662-3</t>
  </si>
  <si>
    <t>10.1016/S0012-821X(02)00662-3</t>
  </si>
  <si>
    <t>WOS:000176782800013</t>
  </si>
  <si>
    <t>Frank, M; van der Loeff, MMR; Kubik, PW; Mangini, A</t>
  </si>
  <si>
    <t>Quasi-conservative behaviour of 10Be in deep waters of the Weddell Sea and the Atlantic sector of the Antarctic Circumpolar Current</t>
  </si>
  <si>
    <t>Be-10; radioactive isotopes; deep-water environment; particles; reactivity; Antarctic Ocean</t>
  </si>
  <si>
    <t>GLACIAL SOUTHERN-OCEAN; PACIFIC-OCEAN; NORTH-ATLANTIC; PA-231/TH-230 RATIO; BERYLLIUM ISOTOPES; PA-231; TH-230; REMOVAL; RATES; FLUX</t>
  </si>
  <si>
    <t>We present the first transect of dissolved Be-10 depth profiles across the Antarctic Circumpolar Current (ACC) in the Atlantic sector. North of the Polar Front the Be-10 concentrations increase continuously from very low values at the surface to values of up to 1600 atoms/g at depth. Deep water Be-10 concentrations of particular water masses are consistent with earlier results obtained further north. South of the Polar Front and in the Weddell Sea the distribution of Be-10 is also characterised by low surface concentrations but below 1000 in depth the concentrations are relatively constant and significantly higher (up to 2000 atoms/g) than further north, probably as a result of mixing and advection of water masses of Pacific origin. Overall the deep water Be-10 distribution is obviously not significantly affected by scavenging processes or ice melt and comparison with the density distribution suggests that Be-10 can be viewed as a quasi-conservative tracer. This provides a tool for an improved understanding of the behaviour of other more particle reactive trace metals in the Southern Ocean such as Th-230: in deep waters north of the ACC/Weddell Gyre boundary (AWB) Be-10/Th-230 has a relatively constant value (1.7+/-0.3x10(9) atoms/dpm) over a wide density range whereas south of the AWB the ratio is significantly lower (1.1+/-0.2x10(9) atoms/dpm). This normalisation to Be-10 corroborates that Th-230 is enriched by 50% due to accumulation south of the AWB as a consequence of minimal particulate fluxes. The quasi-conservative behaviour deduced from our results also implies that Be-10 can only be used as a tracer for Southern Ocean particle fluxes in the past if ocean circulation patterns and water mass residence times did riot change significantly. (C) 2002 Elsevier Science B.V. All rights reserved.</t>
  </si>
  <si>
    <t>ETH Zentrum, Dept Earth Sci, Inst Isotope Geol &amp; Mineral Resources, CH-8092 Zurich, Switzerland; Univ Heidelberg, Heidelberg Acad Sci, Inst Environm Phys, D-69120 Heidelberg, Germany; Alfred Wegener Inst Polar &amp; Marine Res, D-27515 Bremerhaven, Germany; ETH Honggerberg, ETH Zurich, Paul Scherrer Inst, Inst Particle Phys, CH-8093 Zurich, Switzerland</t>
  </si>
  <si>
    <t>Swiss Federal Institutes of Technology Domain; ETH Zurich; Ruprecht Karls University Heidelberg; Helmholtz Association; Alfred Wegener Institute, Helmholtz Centre for Polar &amp; Marine Research; Swiss Federal Institutes of Technology Domain; ETH Zurich; Paul Scherrer Institute</t>
  </si>
  <si>
    <t>Frank, M (corresponding author), ETH Zentrum, Dept Earth Sci, Inst Isotope Geol &amp; Mineral Resources, NO F51-3,Sonneggstr 5, CH-8092 Zurich, Switzerland.</t>
  </si>
  <si>
    <t>Frank, Martin/0000-0002-8606-4421</t>
  </si>
  <si>
    <t>PII S0012-821X(02)00688-X</t>
  </si>
  <si>
    <t>10.1016/S0012-821X(02)00688-X</t>
  </si>
  <si>
    <t>WOS:000176782800014</t>
  </si>
  <si>
    <t>Alexander, B; Savarino, J; Barkov, NI; Delmas, RJ; Thiemens, MH</t>
  </si>
  <si>
    <t>Climate driven changes in the oxidation pathways of atmospheric sulfur</t>
  </si>
  <si>
    <t>ICE-CORE RECORD; ISOTOPIC COMPOSITION; ANTARCTIC ICE; OXYGEN; PAST; SULFATE; STATION; ORIGIN; EARTH</t>
  </si>
  <si>
    <t>[1] Ice cores have provided a wealth of information about past atmospheric composition and climate variability. However, relatively little is known about how the chemistry of the atmosphere has responded to natural climate change and anthropogenic influences. The oxygen isotopes (delta(17)O and delta(18)O) of sulfate serve as a recorder of the relative amounts of gas and aqueous-phase oxidation pathways in the atmosphere. This quality, along with its stability, renders sulfate an ideal proxy to investigate changes in oxidation pathways of S(IV) species in present and ancient atmospheres. The oxygen isotopic composition of sulfate in eight samples from the Vostok, Antarctica ice core, covering one full climate cycle, is presented. Assuming tropospheric-derived sulfate only, isotope data reveal that the ratio of gas-phase over aqueous-phase oxidation of S(IV) species was greater during the last glacial than the surrounding interglacial periods.</t>
  </si>
  <si>
    <t>Univ Calif San Diego, Dept Chem &amp; Biochem, La Jolla, CA 92093 USA; Arctic &amp; Antarctic Res Inst, St Petersburg 199226, Russia; CNRS UJF Lab Glaciol &amp; Geophys Environm, F-38402 St Martin Dheres, France</t>
  </si>
  <si>
    <t>University of California System; University of California San Diego; Arctic &amp; Antarctic Research Institute; Communaute Universite Grenoble Alpes; Universite Grenoble Alpes (UGA)</t>
  </si>
  <si>
    <t>Univ Calif San Diego, Dept Chem &amp; Biochem, Mail Code 0356, La Jolla, CA 92093 USA.</t>
  </si>
  <si>
    <t>Savarino, Joel/H-9730-2012; Alexander, Becky/N-7048-2013</t>
  </si>
  <si>
    <t>Savarino, Joel/0000-0002-6708-9623; Alexander, Becky/0000-0001-9915-4621</t>
  </si>
  <si>
    <t>10.1029/2002GL014879</t>
  </si>
  <si>
    <t>610MV</t>
  </si>
  <si>
    <t>WOS:000178964600021</t>
  </si>
  <si>
    <t>Kwok, R; Comiso, JC</t>
  </si>
  <si>
    <t>Spatial patterns of variability in antarctic surface temperature: Connections to the Southern Hemisphere Annular Mode and the Southern Oscillation</t>
  </si>
  <si>
    <t>EXTRATROPICAL CIRCULATION; PENINSULA; TRENDS</t>
  </si>
  <si>
    <t>[1] The 17-year (1982-1998) trend in surface temperature shows a general cooling over the Antarctic continent, warming of the sea ice zone, with moderate changes over the oceans. Warming of the peripheral seas is associated with negative trends in the regional sea ice extent. Effects of the Southern Hemisphere Annular Mode (SAM) and the extrapolar Southern Oscillation (SO) on surface temperature are quantified through regression analysis. Positive polarities of the SAM are associated with cold anomalies over most of Antarctica, with the most notable exception of the Antarctic Peninsula. Positive temperature anomalies and ice edge retreat in the Pacific sector are associated with El-Nino episodes. Over the past two decades, the drift towards high polarity in the SAM and negative polarity in the SO indices couple to produce a spatial pattern with warmer temperatures in the Antarctic Peninsula and peripheral seas, and cooler temperatures over much of East Antarctica.</t>
  </si>
  <si>
    <t>CALTECH, Jet Prop Lab, Pasadena, CA 91109 USA; NASA, Goddard Space Flight Ctr, Greenbelt, MD 20771 USA</t>
  </si>
  <si>
    <t>National Aeronautics &amp; Space Administration (NASA); NASA Jet Propulsion Laboratory (JPL); California Institute of Technology; National Aeronautics &amp; Space Administration (NASA); NASA Goddard Space Flight Center</t>
  </si>
  <si>
    <t>CALTECH, Jet Prop Lab, 4800 Oak Grove Dr, Pasadena, CA 91109 USA.</t>
  </si>
  <si>
    <t>ron.kwok@jpl.nasa.gov</t>
  </si>
  <si>
    <t>Kwok, Ronald/L-3968-2019; Kwok, Ron/A-9762-2008</t>
  </si>
  <si>
    <t>Kwok, Ronald/0000-0003-4051-5896; Kwok, Ron/0000-0003-4051-5896</t>
  </si>
  <si>
    <t>10.1029/2002GL015415</t>
  </si>
  <si>
    <t>WOS:000178964600002</t>
  </si>
  <si>
    <t>Liu, JP; Yuan, XJ; Rind, D; Martinson, DG</t>
  </si>
  <si>
    <t>Mechanism study of the ENSO and southern high latitude climate teleconnections</t>
  </si>
  <si>
    <t>ANTARCTIC CIRCUMPOLAR WAVE; SEA-ICE EXTENT; TEMPERATURE; VARIABILITY; OSCILLATION; WINTER; OCEAN</t>
  </si>
  <si>
    <t>[1] Evidence of El Nino-Southern Oscillation (ENSO) teleconnections in the southern high latitude climate has been identified, although the mechanisms that might lead to such far-reaching teleconnections remain unresolved. Here we propose one such mechanism-the regional mean meridional atmospheric circulation (the regional Ferrel Cell)-responsible for the covariability of the ENSO and Antarctic Dipole (ADP; a predominant interannually-varying signal in the southern high latitudes). It is found that the altered storm tracks associated with the ENSO variability influence the regional Ferrel Cell indirectly by changing the meridional eddy heat flux divergence and convergence, and shifting the latent heat release zone. The changes of the regional Ferrel Cell then influence the southern high latitude climate by modulating the mean meridional heat flux.</t>
  </si>
  <si>
    <t>NASA, Goddard Space Flight Ctr, Inst Space Studies, New York, NY 10025 USA; Columbia Univ, Lamont Doherty Earth Observ, New York, NY 10027 USA; Columbia Univ, Dept Earth &amp; Environm Sci, New York, NY 10027 USA</t>
  </si>
  <si>
    <t>National Aeronautics &amp; Space Administration (NASA); NASA Goddard Space Flight Center; Columbia University; Columbia University</t>
  </si>
  <si>
    <t>Liu, JP (corresponding author), NASA, Goddard Space Flight Ctr, Inst Space Studies, 2880 Broadway, New York, NY 10025 USA.</t>
  </si>
  <si>
    <t>Yuan, Xiaojun/AAI-7770-2020; LIU, JIPING/N-6696-2016</t>
  </si>
  <si>
    <t>Yuan, Xiaojun/0000-0002-6530-1619</t>
  </si>
  <si>
    <t>10.1029/2002GL015143</t>
  </si>
  <si>
    <t>WOS:000178964600026</t>
  </si>
  <si>
    <t>Reid, K; Murphy, EJ; Loeb, V; Hewitt, RP</t>
  </si>
  <si>
    <t>Krill population dynamics in the Scotia Sea: variability in growth and mortality within a single population</t>
  </si>
  <si>
    <t>Scotia Sea; Antarctic krill Euphausia superba; population dynamics; growth; mortality</t>
  </si>
  <si>
    <t>SOUTH-GEORGIA; ANTARCTIC KRILL; EUPHAUSIA-SUPERBA; FLUCTUATIONS; ECOSYSTEM; DIET; ICE</t>
  </si>
  <si>
    <t>Understanding the demographics of Antarctic krill over large scales may be complicated by regional differences in the processes that govern population structure. The influence of regional differences in growth and mortality on population size structure was examined using data on the length-frequency distribution of krill in the Scotia Sea using samples from the South Shetland Islands and South Georgia collected annually from 1991 to 2000. A correction function, which took account of the higher growth rate at South Georgia, produced a consistent similarity in the position of the modal size classes that was not present in the raw data. Optimising the mortality rate, to minimise the differences in the growth corrected length-frequency distribution, suggested a higher mortality rate at South Georgia that the South Shetlands. The intra-specific variations in growth and mortality rates are consistent with published values and with other Euphausiids species. Having accounted for the demographic plasticity, it is apparent that strong recruitment of the smallest size class of krill is represented in both populations simultaneously. It appears that first-year krill are advected into different regions of the Scotia Sea where the resultant population size structure is determined by regional differences in growth and mortality. The majority of the commercial harvest of krill in the Antarctic occurs in a relatively small number of regional fisheries within the Scotia Sea and is managed using population models based on a single set of demographic parameters. Where substantial differences in these parameters exist between fishing areas, the calculation of catch limits should take these differences into account. (C) 2002 Elsevier Science B.V. All rights reserved.</t>
  </si>
  <si>
    <t>British Antarctic Survey, NERC, Cambridge CB3 0ET, England; Moss Landing Marine Labs, Moss Landing, CA 95039 USA; Natl Marine Fisheries Serv, SW Fisheries Sci Ctr, La Jolla, CA 92038 USA</t>
  </si>
  <si>
    <t>UK Research &amp; Innovation (UKRI); Natural Environment Research Council (NERC); NERC British Antarctic Survey; Moss Landing Marine Laboratories; National Oceanic Atmospheric Admin (NOAA) - USA</t>
  </si>
  <si>
    <t>PII S0924-7963(02)00131-8</t>
  </si>
  <si>
    <t>10.1016/S0924-7963(02)00131-8</t>
  </si>
  <si>
    <t>576FJ</t>
  </si>
  <si>
    <t>WOS:000176991900001</t>
  </si>
  <si>
    <t>Romero, O; Hensen, C</t>
  </si>
  <si>
    <t>Oceanographic control of biogenic opal and diatoms in surface sediments of the Southwestern Atlantic</t>
  </si>
  <si>
    <t>Antarctic; Argentina Basin; biogenic opal; diatoms; Southwestern Atlantic; surface sediments</t>
  </si>
  <si>
    <t>BRAZIL MALVINAS CONFLUENCE; WESTERN ARGENTINE BASIN; SOUTHERN-OCEAN; CIRCULATION; REGION; SEA; CHLOROPHYLL; VARIABILITY; ANTARCTICA; TRANSPORT</t>
  </si>
  <si>
    <t>Based on 66 surface sediment samples collected in the SW Atlantic Ocean between 27 and 50degreesS, this study presents an overview of the spatial distribution of biogenic opal and diatom concentrations, and diatom assemblages. Biogenic opal has highest values in the deepest, pelagic stations and decreases toward the slope. Diatoms closely follow the spatial trend of opal. Diatom assemblages reflect the present-day dominant hydrographical features. Antarctic diatoms are the main contributors to the preserved diatom community in core top sediments, with coastal planktonic and tropical/subtropical diatoms as secondary components. Dominance of Antarctic diatoms between 35 and 50degreesS in the pelagic realm mirrors the northward displacement of Antarctic-source water masses, characterized by high nutrient content and low salinity. Northward of ca. 35degreesS, the highest contribution of tropical/subtropical, pelagic diatoms, typical for nutrient-poor and high salinity waters, matches the main southward path of the Brazil Current. Mixing of Antarctic and tropical waters down up to 45degreesS is clearly illustrated by the diatom assemblage. Concentrations of biogenic opal and diatoms rather reflect the path of predominant water masses, but are less correlated with surface water productivity in the SW Atlantic. (C) 2002 Published by Elsevier Science B.V.</t>
  </si>
  <si>
    <t>Univ Bremen, Dept Geosci, D-28334 Bremen, Germany</t>
  </si>
  <si>
    <t>Romero, O (corresponding author), Univ Bremen, Dept Geosci, POB 33 04 40, D-28334 Bremen, Germany.</t>
  </si>
  <si>
    <t>Hensen, Christian/B-8161-2014</t>
  </si>
  <si>
    <t>JUL 10</t>
  </si>
  <si>
    <t>PII S0025-3227(02)00210-4</t>
  </si>
  <si>
    <t>10.1016/S0025-3227(02)00210-4</t>
  </si>
  <si>
    <t>582QN</t>
  </si>
  <si>
    <t>WOS:000177362800005</t>
  </si>
  <si>
    <t>Risso, C; Scasso, RA; Aparicio, A</t>
  </si>
  <si>
    <t>Presence of large pumice blocks on Tierra del Fuego and South Shetland Islands shorelines, from 1962 South Sandwich Islands eruption</t>
  </si>
  <si>
    <t>submarine volcanic eruption; pumice; Antarctic Circumpolar Current; oceanic currents; Protector Shoal</t>
  </si>
  <si>
    <t>We report on the source of pumice found on beaches of Tierra del Fuego (Argentina) and the South Shetland Islands (Antarctica), north and south of the Drake Passage. Petrological studies, chemical analyses and experiments on this pumice indicate it is most likely from a 1962 submarine eruption in the South Sandwich Islands. Previous work stated that clockwise marine currents carried such pumice as far as Tasmania. Our findings show that the currents continued to transport the pumice to Drake Passage, nearly completing a circuit around Antarctica, and up to southern Argentina showing that this material can follow complex pathways for more than 20000 km. (C) 2002 Elsevier Science B.V. All rights reserved.</t>
  </si>
  <si>
    <t>Univ Buenos Aires, Fac Ciencias Exactas &amp; Nat, Dept Geol, RA-1428 Buenos Aires, DF, Argentina; Univ Buenos Aires, Fac Ciencias Exactas &amp; Nat, Dept Geol, CONICET, RA-1428 Buenos Aires, DF, Argentina; CSIC, Museo Nacl Ciencias Nat, Dept Volcanol, E-28006 Madrid, Spain</t>
  </si>
  <si>
    <t>University of Buenos Aires; Consejo Nacional de Investigaciones Cientificas y Tecnicas (CONICET); University of Buenos Aires; Consejo Superior de Investigaciones Cientificas (CSIC); CSIC - Museo Nacional de Ciencias Naturales (MNCN)</t>
  </si>
  <si>
    <t>Univ Buenos Aires, Fac Ciencias Exactas &amp; Nat, Dept Geol, Ciudad Univ,Pabellon 2,Avda Intendente Cantilo SN, RA-1428 Buenos Aires, DF, Argentina.</t>
  </si>
  <si>
    <t>corina@gl.fcen.uba.ar; rscasso@gl.fcen.uba.ar; mcny144@mncn.csic.es</t>
  </si>
  <si>
    <t>PII S0025-3227(02)00190-1</t>
  </si>
  <si>
    <t>10.1016/S0025-3227(02)00190-1</t>
  </si>
  <si>
    <t>WOS:000177362800013</t>
  </si>
  <si>
    <t>Volbers, ANA; Henrich, R</t>
  </si>
  <si>
    <t>Present water mass calcium carbonate corrosiveness in the eastern South Atlantic inferred from ultrastructural breakdown of Globigerina bulloides in surface sediments</t>
  </si>
  <si>
    <t>calcium carbonate dissolution; calcite lysocline; planktic foraminifera; Antarctic Bottom Water; South Atlantic; Globigerina bulloides</t>
  </si>
  <si>
    <t>DEEP-SEA SEDIMENTS; ANGOLA BASIN; ATMOSPHERIC CO2; NORTH-ATLANTIC; BOTTOM WATER; DISSOLUTION; OCEAN; LYSOCLINE; FORAMINIFERA; PRESERVATION</t>
  </si>
  <si>
    <t>The Atlantic is regarded as a huge carbonate depocenter due to an on average deep calcite lysocline. However, calculations and models that attribute the calcite lysocline to the critical undersaturation depth (hydrographic or chemical lysocline) and not to the depth at which significant calcium carbonate dissolution is observed (sedimentary calcite lysocline) strongly overestimate the preservation potential of calcareous deep-sea sediments. Significant calcium carbonate dissolution is expected to begin firstly below 5000 in in the deep Guinea and Angola Basin and below 4400 in in the Cape Basin. Our study that is based on different calcium carbonate dissolution stages of the planktic foraminifera Globigerina bulloides clearly shows that it starts between 400 and 1600 in shallower depending on the different hydrographic settings of the South Atlantic Ocean. In particular, coastal areas are severely affected by increased supply of organic matter and the resultant production of metabolic CO2 which seems to create microenvironments favorable for dissolution of calcite well above the hydrographic lysocline. (C) 2002 Elsevier Science B.V. All rights reserved.</t>
  </si>
  <si>
    <t>Fac Geosci, Dept Paleoceanog &amp; Sedimentol, D-28334 Bremen, Germany</t>
  </si>
  <si>
    <t>Volbers, ANA (corresponding author), Bundesanstalt Geowissensch &amp; Rohstoffe, Stilleweg 2, D-3000 Hannover, Germany.</t>
  </si>
  <si>
    <t>PII S0025-3227(02)00333-X</t>
  </si>
  <si>
    <t>10.1016/S0025-3227(02)00333-X</t>
  </si>
  <si>
    <t>WOS:000177362800016</t>
  </si>
  <si>
    <t>Hebbeln, D; Marchant, M; Wefer, G</t>
  </si>
  <si>
    <t>Paleoproductivity in the southern Peru-Chile Current through the last 33 000 yr</t>
  </si>
  <si>
    <t>SE Pacific; Peru-Chile Current; paleoproductivity; planktic foraminifera</t>
  </si>
  <si>
    <t>UPWELLING AREA; OCEAN; RECORD; 30-DEGREES-S; FORAMINIFERA; PRODUCTIVITY; VARIABILITY; CALIBRATION; SEDIMENTS; SILICA</t>
  </si>
  <si>
    <t>Based on a multiparameter approach including organic carbon, biogenic opal, carbonate and the species composition of planktic foraminifera, this paper provides the first qualitative assessment of the history of paleoproductivity on glacial-interglacial time scales in the southern Peru-Chile Current (PCC) off Chile, which belongs to the least studied parts of the world ocean. During the Last Glacial Maximum (LGM) highest relative paleoproductivity of the last 33 kyr, indicated by high accumulation rates of organic carbon, biogenic opal and carbonate, has been found, contrasted by lowest values during the early and Middle Holocene. This shift from high to low productivity is accompanied by a major change in the species composition of planktic foraminifera from a dominance of Neogloboquadrina pachyderma (sin.) to the dominance of N. pachyderma (dex.). The temporal pattern of paleoproductivity off Chile is very similar to the history of the continental paleoclimate in the region, which is supposed to be driven by the position of the Southern Westerlies. This observation points to a functional relationship between the position of the Southern Westerlies and the history of paleoproductivity off Chile. Assuming that atmospheric and oceanographic circulation are closely linked, a northward displacement of the Antarctic Circumpolar Current during the LGM, in line with the northward movement of the Southern Westerlies, would bring the main nutrient source closer to our core sites resulting in increased productivity. However, based on the available data, it is not clear if the higher productivity in the southern PCC during the LGM reflects generally higher productivity during this time or only a regional displacement of the main productivity centers. (C) 2002 Elsevier Science B.V. All rights reserved.</t>
  </si>
  <si>
    <t>Univ Bremen, D-28334 Bremen, Germany; Univ Concepcion, Dept Zool, Fac Ciencias Nat &amp; Oceanog, Concepcion, Chile</t>
  </si>
  <si>
    <t>University of Bremen; Universidad de Concepcion</t>
  </si>
  <si>
    <t>Hebbeln, D (corresponding author), Univ Bremen, POB 330440, D-28334 Bremen, Germany.</t>
  </si>
  <si>
    <t>dhebbeln@uni-bremen.de</t>
  </si>
  <si>
    <t>; Wefer, Gerold/S-2291-2016; Hebbeln, Dierk/P-9766-2016</t>
  </si>
  <si>
    <t>Marchant, Margarita/0000-0003-4849-9691; Wefer, Gerold/0000-0002-6803-2020; Hebbeln, Dierk/0000-0001-5099-6115</t>
  </si>
  <si>
    <t>PII S0025-3227(02)00331-6</t>
  </si>
  <si>
    <t>10.1016/S0025-3227(02)00331-6</t>
  </si>
  <si>
    <t>WOS:000177362800017</t>
  </si>
  <si>
    <t>Latimer, JC; Filippelli, GM</t>
  </si>
  <si>
    <t>Eocene to Miocene terrigenous inputs and export production: geochemical evidence from ODP Leg 177, Site 1090</t>
  </si>
  <si>
    <t>geochemistry; drake passage; Atlantic ocean; phosphorus</t>
  </si>
  <si>
    <t>EQUATORIAL PACIFIC; OLIGOCENE PALEOCEANOGRAPHY; MIDDLE EOCENE; OCEAN; PHOSPHORUS; BARIUM; SEDIMENT; CLIMATE; RECONSTRUCTIONS; ACCUMULATION</t>
  </si>
  <si>
    <t>Changes in ocean circulation and climate during the Cenozoic led to the development of the Antarctic Circumpolar Current (ACC) and permanent Antarctic ice sheets. However. the timing of the opening of the Drake Passage and the establishment of the ACC is poorly constrained. We present geochemical proxies of terrigenous inputs and export production at a single site in the southeastern Atlantic Ocean that suggest the Drake Passage had opened to intermediate and deep water by 32.8 Ma. Two separate styles of sedimentation and geochemical composition of terrigenous material are observed, with the change in sediment geochemical characteristics occurring at 32.8 Ma. Middle to late Eocene records are highly variable, while latest Eocene to early Miocene records exhibit cyclic variations in elemental records and terrigenous material. Based on Al/Ti ratios, metal sources change from continental crust to oceanic crust sources at the Eocene/Oligocene transition, which we suggest reflects a change in deep-water circulation. Phosphorus/metal ratios indicate that there are two distinct intervals of enhanced export production, one in the middle Eocene and one throughout the Eocene/Oligocene transition. Elevated Al/Ti ratios, greater than any lithic source, in the middle Eocene provide evidence of particulate scavenging and thus increased export production. Barium ratios further support changes in productivity in the middle Eocene and at the Eocene/Oligocene transition. Permanent changes in the Ba concentration record in the early Oligocene further support a change in deep-water circulation due to the opening and deepening of the Drake Passage at 32.8 Ma. (C) 2002 Elsevier Science B.V. All rights reserved.</t>
  </si>
  <si>
    <t>Indiana Univ Purdue Univ, Dept Geol, Indianapolis, IN 46202 USA; Indiana Univ Purdue Univ, Ctr Earth &amp; Environm Sci, Indianapolis, IN 46202 USA; Indiana Univ, Dept Geol Sci, Bloomington, IN 47405 USA</t>
  </si>
  <si>
    <t>Indiana University System; Indiana University-Purdue University Indianapolis; Indiana University System; Indiana University-Purdue University Indianapolis; Indiana University System; Indiana University Bloomington</t>
  </si>
  <si>
    <t>Indiana Univ Purdue Univ, Dept Geol, 723 W Michigan St, Indianapolis, IN 46202 USA.</t>
  </si>
  <si>
    <t>jclatime@iupui.edu; gfilippe@iupui.edu</t>
  </si>
  <si>
    <t>Filippelli, Gabriel/R-6009-2019</t>
  </si>
  <si>
    <t>Filippelli, Gabriel/0000-0003-3434-5982</t>
  </si>
  <si>
    <t>PII S0031-0182(01)00493-X</t>
  </si>
  <si>
    <t>10.1016/S0031-0182(01)00493-X</t>
  </si>
  <si>
    <t>570DA</t>
  </si>
  <si>
    <t>WOS:000176642100002</t>
  </si>
  <si>
    <t>Andersson, C; Warnke, DA; Channell, JET; Stoner, J; Jansen, E</t>
  </si>
  <si>
    <t>The mid-Pliocene (4.3-2.6 Ma) benthic stable isotope record of the Southern Ocean: ODP Sites 1092 and 704, Meteor Rise</t>
  </si>
  <si>
    <t>Southern Ocean; Pliocene; stable isotope record; ODP Leg 177</t>
  </si>
  <si>
    <t>CENOZOIC GLACIAL HISTORY; DEEP-WATER; ROSS EMBAYMENT; ANTARCTICA; ATLANTIC; CIRCULATION; DELTA-C-13; SEDIMENTARY; EVOLUTION; WARMTH</t>
  </si>
  <si>
    <t>We present mid-Pliocene (4.3-2.6 Ma) benthic stable oxygen and carbon isotope data from Ocean Drilling Program Site 1092 (ODP Leg 177) drilled in the sub-Antarctic sector of the Southern Ocean, The results are compared with the stable isotope results from nearby Site 704 (ODP Leg 114). Oxygen isotope data show that minimum values are about 0.5parts per thousand less than those of the Holocene, which is consistent with the results from Site 704, indicating only minor deglaciation of Antarctica during the studied interval. Oxygen isotope data from both Site 1092 and Site 704 are slightly higher relative to Pacific values during several intervals which could be related to the contribution of warm, saline North Atlantic Deep Water (NADW). Comparisons of benthic carbon isotope gradients between sites located in the North Atlantic, sub-Antarctic sector of the Southern Ocean, and Pacific indicate that at times, the gradient between the Southern Ocean and the Pacific evolved differently than the Atlantic-Pacific gradient. This suggests that variations in NADW strength alone might not be responsible for the observed carbon isotope values in the Southern Ocean. (C) 2002 Elsevier Science B.V. All rights reserved.</t>
  </si>
  <si>
    <t>Univ Bergen, Bjerknes Ctr Climate Res, N-5007 Bergen, Norway; Calif State Univ Hayward, Dept Geol Sci, Hayward, CA 94546 USA; Univ Florida, Dept Geol, Gainesville, FL 32611 USA; Univ Calif Davis, Dept Geol, Davis, CA 95616 USA; NERSC, Bergen, Norway</t>
  </si>
  <si>
    <t>Bjerknes Centre for Climate Research; University of Bergen; California State University System; California State University East Bay; State University System of Florida; University of Florida; University of California System; University of California Davis; Nansen Environmental &amp; Remote Sensing Center (NERSC)</t>
  </si>
  <si>
    <t>Andersson, C (corresponding author), Univ Bergen, Bjerknes Ctr Climate Res, Allegaten 55, N-5007 Bergen, Norway.</t>
  </si>
  <si>
    <t>Andersson, Carin/0000-0002-7113-6066</t>
  </si>
  <si>
    <t>PII S0031-0182(01)00494-1</t>
  </si>
  <si>
    <t>10.1016/S0031-0182(01)00494-1</t>
  </si>
  <si>
    <t>WOS:000176642100003</t>
  </si>
  <si>
    <t>Murphy, L; Warnke, DA; Andersson, C; Channell, J; Stoner, J</t>
  </si>
  <si>
    <t>History of ice rafting at South Atlantic ODP site 177-1092 during the Gauss and Late Gilbert Chrons</t>
  </si>
  <si>
    <t>Pliocene; ice-rafted debris; stable isotopes; magnetostratigraphy; Meteor Rise; South Atlantic; ODP Site 177-1092</t>
  </si>
  <si>
    <t>SIRIUS GROUP; PLIOCENE; SHEET; ANTARCTICA; OCEAN; SEDIMENTARY; TRANSPORT; EVOLUTION; DIATOMS; CLIMATE</t>
  </si>
  <si>
    <t>We have carried out a multiphase analysis of samples from ODP Site 177-1092, Meteor Rise, subantarctic South Atlantic. Samples were analyzed for ice-rafted debris (IRD) and stable isotopes from benthic foraminifiera. Both analyses were performed on the same samples. Additional work was performed to identify the paleomagnetic stratigraphy. The analyzed samples range in age from about 2.6(?) Ma to 4.6 Ma, a time span that saw considerable global warmth, but witnessed overall global refrigeration and the transition to truly bipolar glaciations. A tentative oxygen isotopic stratigraphy was established by comparison with Shackleton et al. [R. Soc. Edinburgh Trans. Earth Sci. 8 (1990) 251-261] and Shackleton et al. [Proc. ODP Sci. Results 138 (1995) 337-355]. Paleomagnetic results show that the Gauss Normal Chron, including subchrons, is identified, although uncertainties plague the exact definitions of the reversals. The subchrons of the Gilbert Reversed Chron, unfortunately, could not be identified. IRD arrived frequently during the Early and early Late Pliocene, but only as 'background rafting' (occasional grains per sample). The first identifiable IRD above background rafting is associated with marine isotope stage (MIS) KM4 (similar to 3.18 Ma). Successive IRD peaks become larger, the same pattern as noted at nearby Site 114-704. A very large peak near the top of the record, approximately 2.8 Ma, is considered to represent a hiatus. Peaks below 51.3 meters composite depth (mcd) coincide with positive excursions of the oxygen isotopic record, and with negative excursions of the carbon isotopic curve, a pattern also noted at Site 114-704. However, the reasonably large IRD peak at 51 mcd (tentatively identified with MIS G11) coincides with a positive excursion on the carbon isotopic curve and negative excursion on the oxygen isotopic curve. This relationship suggests a northern hemisphere interglacial, rising sea level, destabilization of the Antarctic margin, and delivery of Antarctic icebergs to the Southern Ocean. Such a mechanism has recently been suggested by Kanfoush et al. [Science 288 (2000) 1815-1818] for latest Pleistocene stadial/interstadial oscillations. Here we suggest that such a mechanism may have been in place on glacial/interglacial time scales as early as the Late Pliocene. One interval in the lowermost Gauss Normal Chton and several short intervals in the tipper Gilbert Reversed Chron have no IRD. However, oxygen isotopic values of benthic foraminifera are only about 0.62parts per thousand lighter than modern, and must be ascribed to temperature effects in the area of water-mass formation [Hodell and Warnke, Quat. Sci. Rev. 10 (1991) 205-214, Hodell and Venz, Antarctic Research Series 56 (1992) 265-310: Warnke et al., Mar. Micropaleontol. 27 (1996) 237-251]. The East Antarctic Ice Sheet was therefore stable - but the stability of the West Antarctic Ice Sheet may have been compromised. (C) 2002 Elsevier Science B.V. All rights reserved.</t>
  </si>
  <si>
    <t>Calif State Univ Hayward, Dept Geol Sci, Hayward, CA 94546 USA; Univ Bergen, Dept Geol, N-5007 Bergen, Norway; Univ Florida, Dept Geol, Gainesville, FL 32611 USA; Univ Calif Davis, Dept Geol, Davis, CA 95616 USA</t>
  </si>
  <si>
    <t>California State University System; California State University East Bay; University of Bergen; State University System of Florida; University of Florida; University of California System; University of California Davis</t>
  </si>
  <si>
    <t>Calif State Univ Hayward, Dept Geol Sci, Hayward, CA 94546 USA.</t>
  </si>
  <si>
    <t>dwarnke@csuhayward.edu</t>
  </si>
  <si>
    <t>PII S0031-0182(01)00495-3</t>
  </si>
  <si>
    <t>10.1016/S0031-0182(01)00495-3</t>
  </si>
  <si>
    <t>WOS:000176642100004</t>
  </si>
  <si>
    <t>Venz, KA; Hodell, DA</t>
  </si>
  <si>
    <t>New evidence for changes in Plio-Pleistocene deep water circulation from Southern Ocean ODP Leg 177 Site 1090</t>
  </si>
  <si>
    <t>deep water circulation; stable isotopes; Plio-Pleistocene; pateoceanography; Atlantic Ocean</t>
  </si>
  <si>
    <t>MIDPLEISTOCENE CLIMATE TRANSITION; ATMOSPHERIC CARBON-DIOXIDE; LAST GLACIAL MAXIMUM; ANTARCTIC SEA-ICE; NORTH-ATLANTIC; PACIFIC; VARIABILITY; DELTA-C-13; HISTORY; CO2</t>
  </si>
  <si>
    <t>Changes in Atlantic deep water circulation were reconstructed by comparing the benthic foraminiferal delta(13)C record at ODP Site 1090 in the South Atlantic with similar records from the North Atlantic (Sites 982, 607, 925 929) and deep Pacific (Site 849) oceans. Important deep water circulation changes occurred in the early Pleistocene at 1.55 Myr and during the Mid-Pleistocene Transition at 0,9 Myr. At 1.55 Myr, glacial delta(13)C values in the Southern Ocean became significantly lower than those in the deep Pacific, establishing a pattern that persisted throughout the late Pleistocene. We propose that the lowering of delta(13)C values of Southern Component Water (SCW) at this time resulted from expansion of sea ice and reduced ventilation of deep water during glacial periods after marine isotope stage 52. Accompanying this change in Southern Ocean deep water circulation was enhanced interhemispheric coupling between the North and South Atlantic after 1.55 Myr. At similar to0.9 Myr, the magnitude of glacial-to-interglacial variability in delta(13)C increased and shifted to a longer frequency (100 kyr) along with oceanic delta(18)O (ice volume). Calculation of percent Northern Component Water (NCW) using Site 1090 as the SCW end member yielded 20-30% less reduction of NCW during glacial periods of the late Pleistocene. Also, a trend toward reduced glacial suppression of NCW during the past 400 kyr is not evident. The apparent decoupling of ice volume and deep water circulation reported previously may be an artifact of using a Pacific, rather than a Southern Ocean, carbon isotopic record to calculate past mixing ratios of NCW and SCW. (C) 2002 Elsevier Science B.V. Ail rights reserved.</t>
  </si>
  <si>
    <t>Univ Florida, Dept Geol Sci, Gainesville, FL 32611 USA</t>
  </si>
  <si>
    <t>State University System of Florida; University of Florida</t>
  </si>
  <si>
    <t>Venz, KA (corresponding author), Univ Florida, Dept Geol Sci, Gainesville, FL 32611 USA.</t>
  </si>
  <si>
    <t>Hodell, David/0000-0001-8537-1588</t>
  </si>
  <si>
    <t>PII S0031-0182(01)00496-5</t>
  </si>
  <si>
    <t>10.1016/S0031-0182(01)00496-5</t>
  </si>
  <si>
    <t>WOS:000176642100005</t>
  </si>
  <si>
    <t>Diekmann, B; Kuhn, G</t>
  </si>
  <si>
    <t>Sedimentary record of the mid-Pleistocene climate transition in the southeastern South Atlantic (ODP Site 1090)</t>
  </si>
  <si>
    <t>South Atlantic; Pleistocene; palaeoclimate; Antarctic Circumpolar Current; biological productivity; clay minerals</t>
  </si>
  <si>
    <t>DEEP-SEA SEDIMENTS; GLACIAL CYCLES; INDIAN-OCEAN; BIOGENIC CARBONATE; SURFACE SEDIMENTS; ATMOSPHERIC CO2; ICE CORE; EVOLUTION; WATER; CIRCULATION</t>
  </si>
  <si>
    <t>One important goal of Leg 177 of the Ocean Drilling Program (ODP) was to explore the nature of the mid-Pleistocene climate transition (MPT) on the southern hemisphere. A suitable MPT record was encountered at Site 1090 in the southeastern South Atlantic, where a 44-m-thick sequence of Quaternary diatom-bearing foraminiferal muds and oozes was recovered on the Agulhas Ridge. Environmental responses to the MPT comprised changes in terrestrial climate, biological productivity, and regional ocean circulation, as inferred from compositional sediment data and clay mineralogy. A shift towards more and conditions occurred between 900 and 800 ka in southern Africa. Changes in palaeoceanography already started earlier. Since 1150 ka, northward displacements of the Polar Front appeared during glacial periods and shifted the area of dominant diatom deposition towards Site 1090. Likewise, glacial-interglacial contrasts in regional conveyor circulation strengthened after 1200 ka and became most severe after 650 ka. However, while changes in regional conveyor circulation likely responded in tune with global ice-volume changes and show the onset of 100-kyr cycles after 1200 ka, an unusual 130-kyr pattern characterises the pattern of frontal movements between 1200 ka and 650 ka, probably in response to imperfect adaptation of regional climate to the global 100-kyr climate cycles. (C) 2002 Elsevier Science B.V. All rights reserved.</t>
  </si>
  <si>
    <t>Diekmann, B (corresponding author), Alfred Wegener Inst Polar &amp; Marine Res, Res Unit Potsdam, POB 60 01 49, D-14401 Potsdam, Germany.</t>
  </si>
  <si>
    <t>Kuhn, Gerhard/0000-0001-6069-7485; Diekmann, Bernhard/0000-0001-5129-3649</t>
  </si>
  <si>
    <t>PII S0031-0182(01)00498-9</t>
  </si>
  <si>
    <t>10.1016/S0031-0182(01)00498-9</t>
  </si>
  <si>
    <t>WOS:000176642100007</t>
  </si>
  <si>
    <t>Cortese, G; Abelmann, A</t>
  </si>
  <si>
    <t>Radiolarian-based paleotemperatures during the last 160 kyr at ODP Site 1089 (Southern Ocean, Atlantic Sector)</t>
  </si>
  <si>
    <t>radiolaria; pateotemperature; Southern Ocean; Antarctic Cold Reversal; Younger Dryas; Dansgaard-Oeschger cycles</t>
  </si>
  <si>
    <t>VOSTOK ICE CORE; SEA-SURFACE TEMPERATURES; OXYGEN-ISOTOPE RECORDS; NORTH-ATLANTIC; YOUNGER DRYAS; THERMOHALINE CIRCULATION; CLIMATE RECORDS; DEEP-WATER; GREENLAND CLIMATE; NORDIC SEAS</t>
  </si>
  <si>
    <t>Two cores, Site 1089 (ODP Leg 177) and PS2821-1, recovered from the same location (40degrees56'S; 9degrees54'E) at the Subtropical Front (STF) in the Atlantic Sector of the Southern Ocean, provide a high-resolution climatic record, with an average temporal resolution of less than 600 yr. A multi-proxy approach was used to produce an age model for Core PS2821-1, and to correlate the two cores. Both cores document the last climatic cycle, from Marine Isotopic Stage 6 (MIS 6, ca. 160 kyr BP, ka) to present. Summer sea-surface temperatures (SSSTs) have been estimated, with a standard error of ca. +/-1.16degreesC, for the down core record by using Q-mode factor analysis (Imbrie and Kipp method). The paleotemperatures show a 7degreesC warming at Termination II (last interglacial, transition from MIS 6 to MIS 5). This transition from glacial to interglacial paleotemperatures (with maximum temperatures ca. 3degreesC warmer than present at the core location) occurs earlier than the corresponding shift in delta(18)O values for benthic foraminifera from the same core; this suggests a lead of Southern Ocean paleoteraperature changes compared to the global ice-volume changes, as indicated by the benthic isotopic record. The climatic evolution of the record continues with a progressive temperature deterioration towards MIS 2. High-frequency, millennial-scale climatic instability has been documented for MIS 3 and part of MIS 4, with sudden temperature variations of almost the same magnitude as those observed at the transitions between glacial and interglacial times. These changes occur during the same time interval as the Dansgaard-Oeschger cycles recognized in the delta(18)O(ice) record of the GRIP and GISP ice cores from Greenland, and seem to be connected to rapid changes in the STF position in relation to the core location. Sudden cooling episodes ('Younger Dryas (YD)-type' and 'Antarctic Cold Reversal (ACR)-type' of events) have been recognized for both Termination I (ACR-I and YD-I events) and II (ACR-II and YD-II events), and imply that our core is located in an optimal position in order to record events triggered by phenomena occurring in both hemispheres. Spectral analysis of our SSST record displays strong analogies, particularly for high, sub-orbital frequencies, to equivalent records from Vostok (Antarctica) and from the Subtropical North Atlantic ocean. This implies that the climatic variability of widely separated areas (the Antarctic continent, the Subtropical North Atlantic, and the Subantarctic South Atlantic) can be strongly coupled and co-varying at millennial time scales (a few to 10-ka periods), and eventually induced by the same triggering mechanisms. Climatic variability has also been documented for supposedly warm and stable interglacial intervals (MIS 1 and 5), with several cold events which can be correlated to other Southern Ocean and North Atlantic sediment records. (C) 2002 Elsevier Science B.V. All rights reserved.</t>
  </si>
  <si>
    <t>Alfred Wegener Inst Polar &amp; Marine Res, AWI, D-27515 Bremerhaven, Germany</t>
  </si>
  <si>
    <t>Alfred Wegener Inst Polar &amp; Marine Res, AWI, Columbusstr,POB 120161, D-27515 Bremerhaven, Germany.</t>
  </si>
  <si>
    <t>gcortese@awi-bremerhaven.de</t>
  </si>
  <si>
    <t>Cortese, Giuseppe/C-8281-2011</t>
  </si>
  <si>
    <t>Cortese, Giuseppe/0000-0003-1780-3371; Abelmann, Andrea/0000-0001-9432-0002</t>
  </si>
  <si>
    <t>PII S0031-0182(01)00499-0</t>
  </si>
  <si>
    <t>10.1016/S0031-0182(01)00499-0</t>
  </si>
  <si>
    <t>WOS:000176642100008</t>
  </si>
  <si>
    <t>Kuhn, G; Diekmann, B</t>
  </si>
  <si>
    <t>Late Quaternary variability of ocean circulation in the southeastern South Atlantic inferred from the terrigenous sediment record of a drift deposit in the southern Cape Basin (ODP Site 1089)</t>
  </si>
  <si>
    <t>South Atlantic; Pleistocene; palaeoclimate; Antarctic Circumpolar Current; Antarctic Bottom Water</t>
  </si>
  <si>
    <t>LAST GLACIAL PERIOD; WEDDELL SEA; HEINRICH EVENTS; GRAIN-SIZE; ICE-SHEET; CLAY; CLIMATE; GREENLAND; EVOLUTION; ANTARCTICA</t>
  </si>
  <si>
    <t>During Leg 177 of the Ocean Drilling Program, an expanded sequence of Pliocene to Holocene calcareous muds was recovered at Site 1089 on a drift deposit in the southern Cape Basin (SE South Atlantic). The reconstruction of detrital sources and modes of sediment transport gives insight into the operational modes of regional current systems in response to climate variability over the last 590 kyr, as inferred from sedimentological and mineralogical parameters of the terrigenous sediment fraction. Terrigenous sediments mainly originate from African sources with minor contributions from distant southern sources (South America and Antarctica) and are supplied by circumpolar water masses, North Atlantic Deep Water (NADW), and surface currents of the Agulhas Current. Changes in clay mineralogy as tracers of deep and shallow ocean circulation, best displayed by variations in quartz/feldspar ratios and kaolinite/chlorite ratios of clay, reflect both the northward displacement of NADW injection into the Antarctic Circumpolar Current and a weakening of Agulhas Current leakage from the Indian Ocean around South Africa to the South Atlantic during glacial stages, sub-stages, and stadials. Modifications of these regional current patterns are consistent with perturbations in global conveyor circulation and climate variability on Milankovitch and sub-Milankovitch time scales. Elevated mass-accumulation rates of terrigenous matter generally document high particle fluxes and focusing effects by bottom-current action throughout the late Quaternary. Current sorting and coarsening of terrigenous mud, independently of its source signals, prevails during interglacial periods and is linked to a stronger flow of Antarctic Bottom Water and the invigoration of deep contour currents in response to long-term changes (100-kyr cyclicity) in Antarctic ice-sheet dynamics, high-amplitude fluctuations in global sea level, and increased bottom-water formation. (C) 2002 Elsevier Science B.V. All rights reserved.</t>
  </si>
  <si>
    <t>Kuhn, G (corresponding author), Alfred Wegener Inst Polar &amp; Marine Res, POB 12 01 61, D-27515 Bremerhaven, Germany.</t>
  </si>
  <si>
    <t>PII S0031-0182(01)00500-4</t>
  </si>
  <si>
    <t>10.1016/S0031-0182(01)00500-4</t>
  </si>
  <si>
    <t>WOS:000176642100009</t>
  </si>
  <si>
    <t>Kunz-Pirrung, M; Gersonde, R; Hodell, DA</t>
  </si>
  <si>
    <t>Mid-Brunhes century-scale diatom sea surface temperature and sea ice records from the Atlantic sector of the Southern Ocean (ODP Leg 177, sites 1093, 1094 and core PS2089-2)</t>
  </si>
  <si>
    <t>Ocean Drilling Program; Southern Ocean; Marine Isotope Stage 11; diatoms; palcotemperatures; sea ice reconstructions</t>
  </si>
  <si>
    <t>NORTH-ATLANTIC; ANTARCTIC ICE; TIME SCALES; PLEISTOCENE; CLIMATE; LEVEL; PAST; CIRCULATION; CALIBRATION; CYCLES</t>
  </si>
  <si>
    <t>Diatom assemblages from ODP Leg 177 sites 1093, 1094 and core PS2089-2, from the present Antarctic sea ice free zone and close to the Polar Front, were analyzed in order to reconstruct the climate development around the Mid-Brunhes Event 400000 yr ago, as reflected by summer sea surface temperature (SSST) and sea ice distribution. Dense sample spacing allows a mean temporal resolution during Marine Isotope Stage (MIS) 11 (423-362 ka) of 300-400 yr. SSST values were estimated from diatom assemblages using a transfer function technique. The distribution pattern of sea ice diatoms indicates that the present-day ice free Antarctic Zone was seasonally covered by sea ice during the cold MIS 12 and MIS 10. These glacial periods are characterized by sea ice fluctuations with a periodicity of 3 and 1.85 kyr, suggesting the occurrence of Dansgaard-Oeschger-style millennial-scale oscillations in the Atlantic sector of the Southern Ocean during the glacial stages MIS 12 and MIS 10. Termination V (MIS 12/11) is characterized by a distinct temperature increase of 4-6degreesC, intersected especially at the southern site 1094 and core PS2089-2 by two distinct cooling events reminiscent of the Younger Dryas, which are associated with a northward shift of the winter sea ice edge in the Antarctic Zone. The SSST record is characterized by distinct temperature intervals bounded by stepwise, rapid changes. Maximum temperatures were reached during Termination V and the early MIS 11, exceeding modern values by 2degreesC over a period of 8 kyr. This pattern indicates a very early response of the Southern Ocean to global climate on Milankovitch-driven climate variability. The SSST optimum is marked by millennial-scale temperature oscillations with an amplitude of ca. 1degreesC and periodicities of ca, 1.85 and 1.47 kyr, probably reflecting changes in the ocean circulation system. The SSSTs during the MIS 11 temperature optimum do not exceed values obtained from other interglacial optima such as the early periods of MIS 5 or MIS I from the Antarctic Zone. However, the total duration of the warmest period was distinctly longer than observed from other interglacials. The comparison of the South Atlantic climate record with a high-resolution record from ODP Leg 162, site 980 from the North Atlantic shows a strong conformity in the climate development during the studied time interval. (C) 2002 Elsevier Science B.V. All rights reserved.</t>
  </si>
  <si>
    <t>Alfred Wegener Inst Polar &amp; Marine Res, D-27515 Bremerhaven, Germany; Univ Florida, Dept Geol Sci, Gainesville, FL 32611 USA</t>
  </si>
  <si>
    <t>Helmholtz Association; Alfred Wegener Institute, Helmholtz Centre for Polar &amp; Marine Research; State University System of Florida; University of Florida</t>
  </si>
  <si>
    <t>Kunz-Pirrung, M (corresponding author), Alfred Wegener Inst Polar &amp; Marine Res, Postfach 120161, D-27515 Bremerhaven, Germany.</t>
  </si>
  <si>
    <t>PII S0031-0182(01)00501-6</t>
  </si>
  <si>
    <t>10.1016/S0031-0182(01)00501-6</t>
  </si>
  <si>
    <t>WOS:000176642100010</t>
  </si>
  <si>
    <t>Kanfoush, SL; Hodell, DA; Charles, CD; Janecek, TR; Rack, FR</t>
  </si>
  <si>
    <t>Comparison of ice-rafted debris and physical properties in ODP Site 1094 (South Atlantic) with the Vostok ice core over the last four climatic cycles</t>
  </si>
  <si>
    <t>South Atlantic; late Pleistocene; ice-rafted debris; Antarctic Ice Sheet; Vostok ice core; paleoclimate; Milankovitch; suborbital variability</t>
  </si>
  <si>
    <t>DEEP-SEA SEDIMENTS; LATE QUATERNARY; DOME C; OCEAN; ANTARCTICA; SECTOR; SHEET; RECORD; RECONSTRUCTION; INSTABILITY</t>
  </si>
  <si>
    <t>Visual counts of ice-grafted debris (IRD), foraminifera, and radiolaria were made for similar to1500 samples in Site 1094 spanning the last four climatic cycles (marine isotope stages 1-11). Most, but not all, of the IRD variability is captured by whole-core physical properties including magnetic susceptibility and gamma-ray attenuation bulk density. Glacial periods are marked by high IRD abundance and millennial-scale variability, which may reflect instability of ice shelves in the Weddell Sea region. Each interglacial period exhibits low IRD and high foraminiferal abundance during the early part of the interglacial, indicating relatively warm sea-surface temperatures and reduced influence of sea ice. IRD increases and foraminiferal abundances decrease during the latter part of each interglacial, indicating a return to more glacial-like conditions. Glacial terminations I and V are each characterized by a step-wise reduction in ice-rafting punctuated by a brief pulse in IRD delivery and reversal in delta(18)O. The coarse fraction of the sediment is dominated by ash and radiolaria, and the relative abundance of these components is remarkably similar to the concentration of Na+ in Vostok. Each of these variables is believed to be controlled mainly by sea-ice cover, thereby providing a means for sediment-ice core correlation. (C) 2002 Elsevier Science B.V. All rights reserved.</t>
  </si>
  <si>
    <t>Univ Florida, Dept Geol Sci, Gainesville, FL 32611 USA; SUNY Coll Technol Utica Rome, Dept Geol, Utica, NY 13502 USA; Univ Calif San Diego, Scripps Inst Oceanog, La Jolla, CA 92093 USA; Florida State Univ, Antarctic Marine Geol Res Facil, Tallahassee, FL 32016 USA; Joint Oceanog Inst, Washington, DC 20036 USA</t>
  </si>
  <si>
    <t>State University System of Florida; University of Florida; State University of New York (SUNY) System; University of California System; University of California San Diego; Scripps Institution of Oceanography; State University System of Florida; Florida State University</t>
  </si>
  <si>
    <t>Univ Florida, Dept Geol Sci, Gainesville, FL 32611 USA.</t>
  </si>
  <si>
    <t>skanfoush@utica.ucsu.edu</t>
  </si>
  <si>
    <t>PII S0031-0182(01)00502-8</t>
  </si>
  <si>
    <t>10.1016/S0031-0182(01)00502-8</t>
  </si>
  <si>
    <t>WOS:000176642100011</t>
  </si>
  <si>
    <t>Andjus, RK; Dzakula, Z; Marjanovic, M; Zivadinovic, D</t>
  </si>
  <si>
    <t>Kinetic properties of the enzyme-substrate system: A basis for immediate temperature compensation</t>
  </si>
  <si>
    <t>JOURNAL OF THEORETICAL BIOLOGY</t>
  </si>
  <si>
    <t>LACTATE-DEHYDROGENASE; FUNCTIONAL-PROPERTIES; THERMAL MODULATION; ANTARCTIC FISH; PYRUVATE; VALUES; PH</t>
  </si>
  <si>
    <t>One-minimum U-shaped temperature profiles of the dissociation constant (K-m) have been observed experimentally with a variety, of enzyme-substrate (E-S) systems. The increase of E-S affinity with falling temperature (positive thermal modulation of affinity), which opposes the cold-induced reduction in catalytic velocity, has been often interpreted as significant for both immediate and evolutionary temperature compensations and of major importance in setting:thermal limits in ectothermic organisms. This role was denied to enzymes from endotherms, on the ground that their minimal K-m values were situated well below their normal body temperature. Evidence is-presented in this report that affinity changes described by U-shaped profiles can simply be the consequence of intrinsic kinetic properties of the E-S system. Theoretical modeling is achieved by combining the classical expression for the Michaelis constant with Transition. State. Theory expressions for the three rate constants involved. It provides for the U-shape of the K-m vs. T profile and allows for the derivation of an equation for identifying its inversion point. Modeling of V-max and V-min (reaction velocity under conditions of substrate saturation and of dilution, K-m much greater than [S], respectively) is also included. An expression was formulated for predicting the critical temperature, T-C, corresponding to the low-temperature break in Arrhenius lines. Using existing K-m data from literature, concerning a variety of E-S systems, our modeling proved to be highly satisfactory. Our own experiments show that glucose uptake by rat brain synaptosomes can be regarded as a special case of basically the same kinetic scheme, and that the U-shaped temperature modulation of apparent K-m for glucose conversion is also in full agreement with our kinetic modeling. These experiments indicate that positive thermal modulation, although based on intrinsic kinetic properties of the underlying E-S system, may have.: an adaptive role in. endotherms as well, linked, however, to their tolerance to hypothermia. (C) 2002 Elsevier Science Ltd. All rights reserved.</t>
  </si>
  <si>
    <t>Univ Belgrade, Biophys Lab, Ctr Multidisciplinary Studies, YU-11000 Belgrade, Yugoslavia; Accelrys, San Diego, CA 92121 USA; Eastern Illinois Univ, Dept Biol Sci, Charleston, IL 61920 USA; Univ Texas, Med Branch, Humbio, Galveston, TX 77555 USA</t>
  </si>
  <si>
    <t>University of Belgrade; BIOVIA; Eastern Illinois University; University of Texas System; University of Texas Medical Branch Galveston</t>
  </si>
  <si>
    <t>Univ Belgrade, Biophys Lab, Ctr Multidisciplinary Studies, 29 Novembra 142, YU-11000 Belgrade, Yugoslavia.</t>
  </si>
  <si>
    <t>cfmm@eiu.edu</t>
  </si>
  <si>
    <t>ACADEMIC PRESS LTD- ELSEVIER SCIENCE LTD</t>
  </si>
  <si>
    <t>0022-5193</t>
  </si>
  <si>
    <t>1095-8541</t>
  </si>
  <si>
    <t>J THEOR BIOL</t>
  </si>
  <si>
    <t>J. Theor. Biol.</t>
  </si>
  <si>
    <t>JUL 7</t>
  </si>
  <si>
    <t>10.1006/jtbi.2002.3020</t>
  </si>
  <si>
    <t>Biology; Mathematical &amp; Computational Biology</t>
  </si>
  <si>
    <t>Life Sciences &amp; Biomedicine - Other Topics; Mathematical &amp; Computational Biology</t>
  </si>
  <si>
    <t>614VB</t>
  </si>
  <si>
    <t>WOS:000179211200003</t>
  </si>
  <si>
    <t>Guynn, SR; Scofield, MA; Petzel, DH</t>
  </si>
  <si>
    <t>Identification of mRNA and protein expression of the Na/K-ATPase α1-, α2- and α3-subunit isoforms in Antarctic and New Zealand nototheniid fishes</t>
  </si>
  <si>
    <t>alpha-subunit; Antarctica; Na/K-ATPase; Trematomus bernacchii; Notothenia angustata</t>
  </si>
  <si>
    <t>NA+-K+-ATPASE; SUBUNIT MESSENGER-RNAS; BETA-SUBUNIT; DIFFERENTIAL EXPRESSION; GAMMA-SUBUNIT; NA,K-ATPASE; NA+,K+-ATPASE; SEQUENCE; CONSERVATION; TRANSPORT</t>
  </si>
  <si>
    <t>Antarctic nototheniids living in waters below 0 degreesC have a serum osmolality nearly double that of temperate nototheniids. Warm acclimation of Antarctic nototheniids to +4 degreesC decreases serum osmolality by 25% and nearly doubles gill Na/K-ATPase activity without an increase in Na/K-ATPase number or a change in the enzyme's affinity for ouabain. However, the increased activity may result from a change in gill Na/K-ATPase a-subunit isoform composition. Four known Na/KATPase a-subunit isoforms have been identified in other species, however, identification of the isoforms in teleosts has been incomplete. Using reverse transcriptase-polymerase chain reaction (RTPCR) and cloning, we have identified partial cDNA sequences of the Na/K-ATPase alpha1-, alpha2- and alpha3-subunit isoforms in the Antarctic nototheniid Trematomus bernacchii. Using isoform-specific primers, the mRNA for all three isoforms was found in T bernacchii brain, gill, heart, trunk kidney and muscle. Using isoform-specific antibodies, the Na/K-ATPase alpha1-, alpha2- and alpha3-subunit isoforms were found in the tissues of both T bernacchii and Notothenia angustata, a temperate nototheniid. This is the first report detecting all three isoforms at the nucleotide and protein level in teleosts. Further experiments will determine if the gill T bernaechii Na/K-ATPase alpha-subunit isoform composition changes during warm acclimation. (C) 2002 Elsevier Science B.V. All rights reserved.</t>
  </si>
  <si>
    <t>Creighton Univ, Sch Med, Dept Biomed Sci, Omaha, NE 68178 USA; Creighton Univ, Sch Med, Dept Pharmacol, Omaha, NE 68178 USA</t>
  </si>
  <si>
    <t>Creighton University; Creighton University</t>
  </si>
  <si>
    <t>Creighton Univ, Sch Med, Dept Biomed Sci, Omaha, NE 68178 USA.</t>
  </si>
  <si>
    <t>sierrag@creighton.edu</t>
  </si>
  <si>
    <t>1879-1697</t>
  </si>
  <si>
    <t>JUL 3</t>
  </si>
  <si>
    <t>PII S0022-0981(02)00136-3</t>
  </si>
  <si>
    <t>10.1016/S0022-0981(02)00136-3</t>
  </si>
  <si>
    <t>566GN</t>
  </si>
  <si>
    <t>WOS:000176418700002</t>
  </si>
  <si>
    <t>Chico, B; de la Fuente, D; Morcillo, M; Almeida, E; Joseph, G; Rivero, S; Rosales, B</t>
  </si>
  <si>
    <t>Analysis of steel, zinc, copper and aluminium corrosion products in antarctic polar climate.</t>
  </si>
  <si>
    <t>AFINIDAD</t>
  </si>
  <si>
    <t>atmospheric corrosion; reference metals; sea atmosphere; polar climate</t>
  </si>
  <si>
    <t>ATMOSPHERIC CORROSION; METALS</t>
  </si>
  <si>
    <t>This article presents the characterisation results of corrosion products formed on steel, zinc, copper and aluminium exposed in Antarctic corrosion stations near the coast line, and it analyses the influence of the particular characteristics of this climate on this formation. The results are compared with the ones obtained in sea atmospheres of tropical and mild climates.</t>
  </si>
  <si>
    <t>Ctr Nacl Invest Met, Madrid 28040, Spain; Inst Nacl Engneharia &amp; Tecnol Ind, Lisbon, Portugal; Univ Chile, IDIEM, Santiago, Chile; Univ La Republ, Fac Ingn, Montevideo, Uruguay; CITEFA, RA-4380 Buenos Aires, DF, Argentina</t>
  </si>
  <si>
    <t>Consejo Superior de Investigaciones Cientificas (CSIC); Centro Nacional de Investigaciones Metalurgicas (CENIM); Universidad de Chile; Universidad de la Republica, Uruguay</t>
  </si>
  <si>
    <t>Chico, B (corresponding author), Ctr Nacl Invest Met, Avda Gregorio Amo 8, Madrid 28040, Spain.</t>
  </si>
  <si>
    <t>Morcillo Linares, Manuel/0000-0002-7355-0092; Chico, Belen/0000-0001-8697-6298</t>
  </si>
  <si>
    <t>ASOC QUIMICOS</t>
  </si>
  <si>
    <t>INST QUIMICO SARRIA, 17 BARCELONA, SPAIN</t>
  </si>
  <si>
    <t>0001-9704</t>
  </si>
  <si>
    <t>Afinidad</t>
  </si>
  <si>
    <t>JUL-AUG</t>
  </si>
  <si>
    <t>629AY</t>
  </si>
  <si>
    <t>WOS:000180029300023</t>
  </si>
  <si>
    <t>Meredith, NP; Horne, RB; Summers, D; Thorne, RM; Iles, RHA; Heynderickx, D; Anderson, RR</t>
  </si>
  <si>
    <t>Evidence for acceleration of outer zone electrons to relativistic energies by whistler mode chorus</t>
  </si>
  <si>
    <t>magnetospheric physics; storms and sub-storms, energetic particles, trapped; space plasma physics; wave-particle interactions</t>
  </si>
  <si>
    <t>RADIATION BELT; INNER MAGNETOSPHERE; MAGNETIC STORMS; FLUXES; ENHANCEMENTS; CRRES; DIFFUSION; ORBIT</t>
  </si>
  <si>
    <t>We use plasma wave and electron data from the Combined Release and Radiation Effects Satellite (CRRES) to investigate the viability of a local stochastic electron acceleration mechanism to relativistic energies driven by gyroresonant interactions with whistler mode chorus. In particular, we examine the temporal evolution of the spectral response of the electrons and the waves during the 9 October 1990 geomagnetic storm. The observed hardening of the electron energy spectra over about 3 days in the recovery phase is coincident with prolonged substorm activity, as monitored by the A(E) index and enhanced levels of whistler mode chorus waves. The observed spectral hardening is observed to take place over a range of energies appropriate to the resonant energies associated with Doppler-shifted cyclotron resonance, as supported by the construction of realistic resonance curves and resonant diffusion surfaces. Furthermore, we show that the observed spectral hardening is not consistent with energy-independent radial diffusion models. These results provide strong circumstantial evidence for a local stochastic acceleration mechanism, involving the energisation of a seed population of electrons with energies of the order of a few hundred keV to relativistic energies, driven by wave-particle interactions involving whistler mode chorus. The results suggest that this mechanism contributes to the reformation of the relativistic outer zone population during geomagnetic storms, and is most effective when the recovery phase is characterised by prolonged substorm activity. An additional significant result of this paper is that we demonstrate that the lower energy part of the storm-time electron distribution is in steady-state balance, in accordance with the Kennel and Petschek (1966) theory of limited stably-trapped particle fluxes.</t>
  </si>
  <si>
    <t>UCL, Mullard Space Sci Lab, Surrey, England; NERC, British Antarctic Survey, Cambridge, England; Mem Univ Newfoundland, Dept Math &amp; Stat, St John, NF A1C 5S7, Canada; Univ Calif Los Angeles, Dept Atmospher Sci, Los Angeles, CA 90024 USA; Belgian Inst Space Aeron, Brussels, Belgium; Univ Iowa, Dept Phys &amp; Astron, Iowa City, IA 52242 USA</t>
  </si>
  <si>
    <t>University of London; University College London; UK Research &amp; Innovation (UKRI); Natural Environment Research Council (NERC); NERC British Antarctic Survey; Memorial University Newfoundland; University of California System; University of California Los Angeles; University of Iowa</t>
  </si>
  <si>
    <t>Meredith, NP (corresponding author), UCL, Mullard Space Sci Lab, Holmbury St Mary, Surrey, England.</t>
  </si>
  <si>
    <t>npm@mssl.ucl.ac.uk</t>
  </si>
  <si>
    <t>Horne, Richard B/U-3764-2019; Heynderickx, Daniel/JBS-0816-2023; Meredith, Nigel P/C-5806-2018</t>
  </si>
  <si>
    <t>Horne, Richard B/0000-0002-0412-6407; Heynderickx, Daniel/0000-0001-7136-9014; Meredith, Nigel/0000-0001-5032-3463</t>
  </si>
  <si>
    <t>JUL</t>
  </si>
  <si>
    <t>10.5194/angeo-20-967-2002</t>
  </si>
  <si>
    <t>583HW</t>
  </si>
  <si>
    <t>WOS:000177402900009</t>
  </si>
  <si>
    <t>Valiente, L; Piccinna, M; Ale, ER; Grillo, A; Smichowski, P</t>
  </si>
  <si>
    <t>Determination of selenium in dietary supplements by ETAAS and HG-AAS: A comparative study</t>
  </si>
  <si>
    <t>ATOMIC SPECTROSCOPY</t>
  </si>
  <si>
    <t>ATOMIC-ABSORPTION SPECTROMETRY; HYDRIDE-GENERATION; ANTARCTIC KRILL; TETRAHYDROBORATE</t>
  </si>
  <si>
    <t>A study was carried out to establish a reliable procedure for determining Se in dietary supplements. Three different brands of Se food supplements were evaluated. These supplements were digested with HNO3 and H2O2 using a two-cycle microwave procedure. Electrothermal atomic absorption spectrometry (ETAAS) and hydride generation-atomic absorption spectrometry (HG-AAS) techniques were selected for total Se determination. The adverse effects of potentially interfering metals that are normally present in these products were taken into account. In particular, the effect of Cu, Mn, and Zn on the Se signal was investigated. Copper reduces the Se signal significantly when HG-AAS was used for quantification. On the other hand, no interference effects were detected when ETAAS was used and for this reason it was selected as the best alternative to analyze the samples. The overall approach was tested in tablets of vitamins-minerals-amino acids, nutritional supplements and Se-enriched yeast. The selenium content ranged from 15.9+/-0.7 to 81.1+/-3.3 mug of Se per tablet. The data obtained demonstrate that the Se content reported on the labels of dietary supplements are often inaccurate. The detection limits were found to be 0.18 mug g(-1) Se and 0.06 mug g(-1) Se for ETAAS and HG-AAS, respectively. Precision was always better than 6%, while the recovery data ranged between 93 and 105%.</t>
  </si>
  <si>
    <t>Comis Nacl Energia Atom, Ctr Atom Constituyentes, Unidad Act Quim, RA-1429 Buenos Aires, DF, Argentina; CEQUIPE, Lab Anal Trazas, Inst Nacl Tecnol Ind, Buenos Aires, DF, Argentina</t>
  </si>
  <si>
    <t>Comision Nacional de Energia Atomica (CNEA); Instituto Nacional de Tecnologia Industrial (INTI)</t>
  </si>
  <si>
    <t>Comis Nacl Energia Atom, Ctr Atom Constituyentes, Unidad Act Quim, Av Gral Paz 1499,B1650KNA San Martin,Pcia, RA-1429 Buenos Aires, DF, Argentina.</t>
  </si>
  <si>
    <t>smichows@cnea.gov.ar</t>
  </si>
  <si>
    <t>ATOMIC SPECTROSCOPY PRESS LTD</t>
  </si>
  <si>
    <t>KWAI CHUNG</t>
  </si>
  <si>
    <t>FLAT H29, 1-F, PHASE 2 KWAI SHING IND BLDG, NO 42-46 TAI LIN PAI RD, KWAI CHUNG, KWAI TSING, HONG KONG</t>
  </si>
  <si>
    <t>0195-5373</t>
  </si>
  <si>
    <t>2708-521X</t>
  </si>
  <si>
    <t>ATOM SPECTROSC</t>
  </si>
  <si>
    <t>Atom. Spectrosc.</t>
  </si>
  <si>
    <t>599VE</t>
  </si>
  <si>
    <t>WOS:000178355200005</t>
  </si>
  <si>
    <t>Phillips, RA; Dawson, DA; Ross, DJ</t>
  </si>
  <si>
    <t>Mating patterns and reversed size dimorphism in Southern Skuas (Stercorarius skua lonnbergi)</t>
  </si>
  <si>
    <t>AUK</t>
  </si>
  <si>
    <t>SEXUAL DIMORPHISM; ARCTIC SKUAS; MATE CHOICE; BIRDS; EVOLUTION; SELECTION; SUCCESS; OWL</t>
  </si>
  <si>
    <t>Numerous explanations exist for the evolution of reversed size dimorphism in raptorial species. A recent study concluded that reversed size dimorphism in skuas and jaegers was probably not attributable to breeding-role specialization, but that there was evidence for sexual selection, and in particular intrasexual competition by females for males. Our study tested the applicability of those conclusions for Southern (or Brown) Skuas (Stercorarius skua lonnbergi) breeding in South Georgia. Clutch volume was related positively to size and condition of females and negatively to condition of males, but there was no evidence of assortative mating for size or condition within pairs. Potential explanations for the discrepancy between this and previous studies are that size is less closely correlated with individual quality because of highly diverse foraging strategies, territory quality is a confounding factor, or because lower aggression in Southern Skuas reduces the necessity for small females to avoid large males.</t>
  </si>
  <si>
    <t>British Antarctic Survey, NERC, Cambridge CB3 0ET, England; Univ Sheffield, Dept Anim &amp; Plant Sci, Sheffield Mol Genet Facil, Sheffield S10 2TN, S Yorkshire, England</t>
  </si>
  <si>
    <t>UK Research &amp; Innovation (UKRI); Natural Environment Research Council (NERC); NERC British Antarctic Survey; University of Sheffield</t>
  </si>
  <si>
    <t>Phillips, RA (corresponding author), British Antarctic Survey, NERC, High Cross,Madingley Rd, Cambridge CB3 0ET, England.</t>
  </si>
  <si>
    <t>AMER ORNITHOLOGISTS UNION</t>
  </si>
  <si>
    <t>0004-8038</t>
  </si>
  <si>
    <t>10.1642/0004-8038(2002)119[0858:MPARSD]2.0.CO;2</t>
  </si>
  <si>
    <t>593FL</t>
  </si>
  <si>
    <t>WOS:000177980300030</t>
  </si>
  <si>
    <t>Gudmundsdóttir, A</t>
  </si>
  <si>
    <t>Cold-adapted and mesophilic brachyurins</t>
  </si>
  <si>
    <t>BIOLOGICAL CHEMISTRY</t>
  </si>
  <si>
    <t>brachyurin; cold-adaptation; expression; serine protease; similarity modelling</t>
  </si>
  <si>
    <t>COLLAGENOLYTIC SERINE PROTEASE; PENAEUS-VANNAMEI CRUSTACEA; UCA-PUGILATOR; SUBSTRATE-SPECIFICITY; ANTARCTIC KRILL; FIDDLER-CRAB; CONFORMATIONAL SEARCH; CRYSTAL-STRUCTURE; TRYPSIN; ENZYMES</t>
  </si>
  <si>
    <t>Two different types of brachyurins, termed I and II, have been described in the literature. Within type I there are two subtypes, Ia and Ib. The prototype for the type I brachyurins is Fiddler crab collagenase I. Its coldadapted analogue from Antarctic krill, termed euphaulysin, shares many of its characteristics. Both enzymes are distinguished by their broad substrate specificity as well as the ability to cleave collagen. The precursor form of euphaulysin has been expressed in Pichia pastoris and processed to its fully active form using cod trypsin. A molecular model of euphaulysin, based on the known crystal structure of crab collagenase I, indicates that the core structure of these enzymes is almost identical. As a coldadapted enzyme, euphaulysin has a higher catalytic efficiency than crab collagenase I. It is also more sensitive to thermal inactivation and autolysis. Furthermore, euphaulysin has an increased length of several surface loops compared to crab collagenase I. Extended surface loops have been suggested to play a role in the cold activity of some bacterial enzymes. Sensitivity to autolysis is an important factor which contributes to the thermal instability of euphaulysin. Substitution of a highly exposed residue in the autolysis loop of euphaulysin resulted in an increased stability of the enzyme towards thermal inactivation without altering its catalytic efficiency.</t>
  </si>
  <si>
    <t>Univ Iceland, Inst Sci, Dept Food Sci, IS-101 Reykjavik, Iceland</t>
  </si>
  <si>
    <t>University of Iceland</t>
  </si>
  <si>
    <t>Gudmundsdóttir, A (corresponding author), Univ Iceland, Inst Sci, Dept Food Sci, Vatnsmyrarvegi 16, IS-101 Reykjavik, Iceland.</t>
  </si>
  <si>
    <t>WALTER DE GRUYTER &amp; CO</t>
  </si>
  <si>
    <t>1431-6730</t>
  </si>
  <si>
    <t>BIOL CHEM</t>
  </si>
  <si>
    <t>Biol. Chem.</t>
  </si>
  <si>
    <t>7-8</t>
  </si>
  <si>
    <t>10.1515/BC.2002.122</t>
  </si>
  <si>
    <t>589BH</t>
  </si>
  <si>
    <t>WOS:000177737800013</t>
  </si>
  <si>
    <t>Anderson, CIH; Rodhouse, PG</t>
  </si>
  <si>
    <t>Distribution of juvenile squid in the Scotia Sea, in relation to regional oceanography</t>
  </si>
  <si>
    <t>GALITEUTHIS-GLACIALIS; ATLANTIC; VARIABILITY; CEPHALOPODS; ANTARCTICA; OCEAN</t>
  </si>
  <si>
    <t>A total of 211 juvenile and paralarval squid were collected on five research cruises made in the Scotia Sea region during the austral summer (1996-1999). These included specimens of Alluroteuthis antarcticus (Neoteuthidae), Batoteuthis skolops (Batoteuthidae), Brachioteuthis sp. (Brachioteuthidae), Galiteuthis glacialis (Cranchiidae), Gonatus antarcticus (Gonatidae), Mesonychoteuthis hamiltoni (Cranchiidae), Psychroteuthis glacialis (Psychroteuthidae), and a number of small onychoteuthids. The specimens ranged in size from 3.8 to 51.9 mm (dorsal mantle length), and significant differences in the size of the specimens collected were found both between and within species. Water mass type, ocean depth, daylight state and cruise (year) all had significant effects on the overall pattern of catches of squid per trawl under specific circumstances, but no significant differences were found in the pattern of catches of the individual species. Indications were found that different species favour different water masses, that the near shelf environment may be the most productive for catches of juvenile squid, and that there are interannual differences in the catches of juvenile squid in the vicinity of South Georgia. Overall, although based on a small sample of specimens, this study found that the regional oceanography does influence the distribution of juvenile squid in the Scotia Sea.</t>
  </si>
  <si>
    <t>Univ Aberdeen, Dept Zool, Aberdeen AB24 2TZ, Scotland; British Antarctic Survey, Cambridge CB3 0ET, England</t>
  </si>
  <si>
    <t>Anderson, CIH (corresponding author), Univ St Andrews, Dept Biol &amp; Preclin Med, Gatty Marine Lab, St Andrews KY16 8LB, Fife, Scotland.</t>
  </si>
  <si>
    <t>674CU</t>
  </si>
  <si>
    <t>WOS:000182619900009</t>
  </si>
  <si>
    <t>Collins, MA; Yau, C; Boyle, PR; Friese, D; Piatkowski, U</t>
  </si>
  <si>
    <t>Distribution of cephalopods from plankton surveys around the British Isles</t>
  </si>
  <si>
    <t>LOLIGO-FORBESI; NORTHEAST ATLANTIC; SCOTTISH WATERS; ABUNDANCE; SQUID; RECRUITMENT; LOLIGINIDAE; CYCLE; IRISH; OCEAN</t>
  </si>
  <si>
    <t>Cephalopods (n = 515) were identified from a series of plankton and fine meshed midwater trawls, taken between 1977 and 1999, around the British Isles. The collections were not directed at cephalopods, but provide valuable information on the distribution of planktonic species and on the paralarvae of the benthic species. The most abundant species in neritic areas were the octopod Eledone cirrhosa and the sepiolids, Sepietta oweniana and Sepiola atlantica. Eledone cirrhosa were common in samples to the north and west of Scotland, particularly in early summer. The mantle lengths of E. cirrhosa were 4-8 mm, indicating a brief planktonic existence or, perhaps, net avoidance by larger specimens. In the shelf-break collections from the west of Scotland and Ireland the squids Brachioteuthis spp., Gonatus sp., Teuthowenia megalops and rynchoteuthions of the Ommastrephidae were abundant. Two types of rhynchoteuthion were found and were probably Todarodes sagittatus, Illex coindetii or Todaropsis eblanae. Despite the abundance of Loligo forbesi around the British Isles, it was rarely taken in plankton collections, probably indicating that it does not have a planktonic paralarva.</t>
  </si>
  <si>
    <t>Univ Aberdeen, Dept Zool, Aberdeen AB24 2TZ, Scotland; Univ Kiel, Inst Meereskunde, D-24105 Kiel, Germany</t>
  </si>
  <si>
    <t>University of Aberdeen; University of Kiel</t>
  </si>
  <si>
    <t>, Martin/ABE-6728-2020; Collins, Martin A/J-8560-2017; Piatkowski, Uwe/G-4161-2011</t>
  </si>
  <si>
    <t>, Martin/0000-0001-7132-8650; Piatkowski, Uwe/0000-0003-1558-5817</t>
  </si>
  <si>
    <t>WOS:000182619900019</t>
  </si>
  <si>
    <t>Filippova, JA</t>
  </si>
  <si>
    <t>Review of Soviet/Russian studies on squids in the Antarctic Ocean</t>
  </si>
  <si>
    <t>GALITEUTHIS-GLACIALIS; SOUTHERN-OCEAN; WEDDELL SEA; PRYDZ BAY; CEPHALOPODA; SECTOR; DIET</t>
  </si>
  <si>
    <t>Soviet/Russian studies on squids in the Antarctic Ocean began in the mid-1960s, when the specially built RV ACADEMIC KNIPOVICH started the search for new fishery resources in the Scotia Sea. Then, in the 1970-80s expeditions to the Antarctic Ocean were also carried out by other vessels. Unique material on large deep-water Antarctic squids was obtained due to the study of the feeding of sperm whales and Antarctic tooth-fish carried out during the Soviet whale fishery (1965-1979) on board the factory-ship SOVIETSKAYA UKRAINA. The data obtained provide new information on the taxonomic composition of the Antarctic teuthofauna as well as on geographical and vertical distribution patterns of Antarctic squids and on the feeding, reproductive strategy and other characters of their ecology. The place of the Antarctic squids in the ecosystem of Antarctic pelagic province is discussed.</t>
  </si>
  <si>
    <t>VNIRO, Moscow 107140, Russia</t>
  </si>
  <si>
    <t>Filippova, JA (corresponding author), VNIRO, 17 Verkhne Krasnoselskaya Str, Moscow 107140, Russia.</t>
  </si>
  <si>
    <t>WOS:000182619900020</t>
  </si>
  <si>
    <t>Rémy, F; Testut, L; Legrésy, B</t>
  </si>
  <si>
    <t>Random fluctuations of snow accumulation over Antarctica and their relation to sea level change</t>
  </si>
  <si>
    <t>SATELLITE ALTIMETRY; MASS-BALANCE; ICE SHEETS; SOUTH-POLE; PRECIPITATION; GREENLAND; LAND</t>
  </si>
  <si>
    <t>Short-term changes in the volume of ice sheets as analyzed by radar altimetry may not be related to long-term climatic change. Indeed, the large relaxation time of an ice sheet induces a low-frequency response to random fluctuations of snow accumulation. However, the time scale of the response is big compared to the average human lifetime and the effect of these random fluctuations on sea level change may be important even if they are not linked to climatic change. In this study, the relaxation time of an ice sheet is expressed with respect to the ice thickness, surface slope and ice velocity. These parameters are deduced from the precise topography derived from the geodetic cycle of the ERS1 radar altimeter. The variance of the induced effect on ice elevation is found to be around 3 in over a 30-year scale and with a maximum of 10 in in Wilkes Land and in the western part of the West Antarctic ice sheet. Near the coast, this effect can mask a climatic signal and thus be critical for altimetric mass balance surveys. The estimated changes in Antarctica's elevation between the Seasat (1978) and ERS (1993) epochs could be explained at least partially by such processes. In terms of sea level change over the 30-year scale, the standard deviation of the induced effect is 8 2.8 cm. Finally, we show that the probability of a present-day, induced sea level rise of between 0.5 and 1 mm/year over a 30-year time scale is estimated at 10% +/- 10%, with coastal areas accounting for half of this signal.</t>
  </si>
  <si>
    <t>CNRS, CNES, UPS, LEGOS, F-31055 Toulouse, France</t>
  </si>
  <si>
    <t>Universite de Toulouse; Universite Toulouse III - Paul Sabatier; Centre National de la Recherche Scientifique (CNRS); Institut de Recherche pour le Developpement (IRD); Laboratoire d'Etudes en Geophysique et oceanographie spatiales</t>
  </si>
  <si>
    <t>Rémy, F (corresponding author), CNRS, CNES, UPS, LEGOS, 18 Av E Belin, F-31055 Toulouse, France.</t>
  </si>
  <si>
    <t>frederique.remy@cnes.fr</t>
  </si>
  <si>
    <t>legresy, benoit/K-6673-2018</t>
  </si>
  <si>
    <t>legresy, benoit/0000-0002-1909-1630; Testut, Laurent/0000-0002-3969-2919</t>
  </si>
  <si>
    <t>10.1007/s00382-002-0226-z</t>
  </si>
  <si>
    <t>580PY</t>
  </si>
  <si>
    <t>WOS:000177244000005</t>
  </si>
  <si>
    <t>Takeda, A; Cox, S; Payne, AJ</t>
  </si>
  <si>
    <t>Parallel numerical modelling of the Antarctic Ice Sheet</t>
  </si>
  <si>
    <t>COMPUTERS &amp; GEOSCIENCES</t>
  </si>
  <si>
    <t>Antarctica; parallel computing; non-linear partial differential equations; commodity supercomputing; BEDMAP data</t>
  </si>
  <si>
    <t>FLOW; SIMULATION; SUPPORT</t>
  </si>
  <si>
    <t>The Antarctic Ice Sheet comprises the West Antarctic Ice Sheet and the much larger East Antarctic Ice Sheet. Fast flowing ice streams and outlet glaciers are important dynamic components of the ice sheet system, and a grid resolution of at least 20 km is required to identify many of these areas. Previous fine resolution numerical models have focussed on ice flow in West Antarctica or on fine resolution modelling of subsections of the ice sheet, since the size of East Antarctica has generally precluded studies of the whole ice sheet at a resolution adequate to identify complex flow features. The equations describing ice flow are highly non-linear, making this a computationally intensive problem. We use a staggered grid for calculation of ice diffusivity to overcome numerical instability, and a sparse packing scheme to take account of the irregular boundary of Antarctica. We have developed an efficient parallel temperature-dependent ice flow model of the entire grounded portion of the Antarctic Ice Sheet at a resolution of 20 km. The model was primarily written to run on a commodity cluster of workstations, and performance results for this and other systems are presented. Ice flow patterns at steady state compare well with recently published balance velocity calculations. (C) 2002 Elsevier Science Ltd. All rights reserved.</t>
  </si>
  <si>
    <t>Univ Bristol, Sch Geog Sci, Bristol Glaciol Ctr, Bristol B58 155, Avon, England; Univ Southampton, Dept Elect &amp; Comp Sci, Southampton SO9 5NH, Hants, England</t>
  </si>
  <si>
    <t>University of Bristol; University of Southampton</t>
  </si>
  <si>
    <t>Univ Bristol, Sch Geog Sci, Bristol Glaciol Ctr, Bristol B58 155, Avon, England.</t>
  </si>
  <si>
    <t>a.j.payne@bristol.ac.uk</t>
  </si>
  <si>
    <t>payne, antony/A-8916-2008</t>
  </si>
  <si>
    <t>payne, antony/0000-0001-8825-8425</t>
  </si>
  <si>
    <t>0098-3004</t>
  </si>
  <si>
    <t>1873-7803</t>
  </si>
  <si>
    <t>COMPUT GEOSCI-UK</t>
  </si>
  <si>
    <t>Comput. Geosci.</t>
  </si>
  <si>
    <t>PII S0098-3004(01)00106-6</t>
  </si>
  <si>
    <t>10.1016/S0098-3004(01)00106-6</t>
  </si>
  <si>
    <t>Computer Science, Interdisciplinary Applications; Geosciences, Multidisciplinary</t>
  </si>
  <si>
    <t>Computer Science; Geology</t>
  </si>
  <si>
    <t>558ZN</t>
  </si>
  <si>
    <t>WOS:000175998600001</t>
  </si>
  <si>
    <t>Wylie, J</t>
  </si>
  <si>
    <t>Becoming-icy: Scott and Amundsen's South Polar voyages, 1910-1913</t>
  </si>
  <si>
    <t>CULTURAL GEOGRAPHIES</t>
  </si>
  <si>
    <t>This paper presents a critical narration of the South Polar voyages of Roald Amundsen and Robert Falcon Scott, The argument which guides this narration is that it is through embodied, material practices - through relations of becoming anterior to a duality of discourse and world - that distinctive subjectivities and landscapes are produced. Within this conceptual frame, the paper focuses upon the differences between the expeditions led by Scott and Amundsen, and especially upon differences as regards styles of dwelling within and strategies for moving through the Antarctic landscape, Such differences, I argue, may be witnessed and narrated within the varying materialities, mobilities and corporealities enacted by the two expeditions. In analysing these via the format of a critical narrative, the aim is to foreground a sense of Scott and Amundsen's voyages as concrete, sensuous contexts of practice and performance, and in this way the paper seeks to abet and inflect the interpretative strategies of current critical histories of European exploration.</t>
  </si>
  <si>
    <t>Univ Sheffield, Dept Geog, Sheffield S10 2TN, S Yorkshire, England</t>
  </si>
  <si>
    <t>University of Sheffield</t>
  </si>
  <si>
    <t>Wylie, J (corresponding author), Univ Sheffield, Dept Geog, Sheffield S10 2TN, S Yorkshire, England.</t>
  </si>
  <si>
    <t>ARNOLD, HODDER HEADLINE PLC</t>
  </si>
  <si>
    <t>338 EUSTON ROAD, LONDON NW1 3BH, ENGLAND</t>
  </si>
  <si>
    <t>1474-4740</t>
  </si>
  <si>
    <t>CULT GEOGR</t>
  </si>
  <si>
    <t>Cult. Geogr.</t>
  </si>
  <si>
    <t>10.1191/1474474002eu247oa</t>
  </si>
  <si>
    <t>Environmental Studies; Geography</t>
  </si>
  <si>
    <t>Environmental Sciences &amp; Ecology; Geography</t>
  </si>
  <si>
    <t>606EE</t>
  </si>
  <si>
    <t>WOS:000178720200001</t>
  </si>
  <si>
    <t>McDonagh, EL; Arhan, M; Heywood, KJ</t>
  </si>
  <si>
    <t>On the circulation of bottom water in the region of the Vema Channel</t>
  </si>
  <si>
    <t>abyssal circulation; deep front; Antarctic bottom water; North Atlantic deep water; Vema Channel; Argentine Basin; Brazil Basin; South Atlantic</t>
  </si>
  <si>
    <t>BRAZIL BASIN; WESTERN BOUNDARY; EQUATORIAL ATLANTIC; SOUTH-ATLANTIC; HUNTER CHANNEL; FLOW; OCEAN; HYDROGRAPHY</t>
  </si>
  <si>
    <t>The circulation and transport of Antarctic Bottom Water (sigma(4) &lt; 45.87) in the region of the Vema Channel are studied along three WOCE hydrographic lines, the geostrophic velocities referenced to previously published direct current measurements. The primary supply of water to the deep Verna Channel is from the Argentine Basin's deep western boundary current, with no indication of an inflow from the southeast. In the northern Argentine Basin, detachment of lower North Atlantic Deep Water from the continental slope is associated with a deep thermohaline front near 34degreesS. To the north of this front, the upper part of the AABW bound for the Vema Channel (sigma(4) &lt; 46.01) exhibits a significant NADW influence. Further modification of the throughflow water occurs near 30degrees30'S, where the channel orientation changes by similar to50degrees. Southward flow of bottom water on the eastern flank of the Vema Channel, amounting to similar to1.5 Sv, represents a significant countercurrent to the deep channel transport. Inclusion of this countercurrent reduces the net flow of AABW through the Vema Channel from 3.2 +/- 0.7 to 1.7 +/- 1.1 Sv. Water properties imply that the near-zero net flow over the Santos Plateau results from a near-closed cyclonic circulation fed by the deep Vema Channel throughflow. A disruption of the northward boundary current in the upper AABW (lower circumpolar water) is required by this flow pattern. The extension of the cyclonic circulation on the Santos Plateau enters the Brazil Basin as a similar to 1 Sv flow distinct from the outflow in the Vema Channel Extension (6.2 Sv). The high magnitude of the latter suggests a southward recirculation of bottom water near the western boundary to the north of the region of study. (C) 2002 Elsevier Science Ltd. All rights reserved.</t>
  </si>
  <si>
    <t>Southampton Oceaog Ctr, Southampton SO14 3ZH, Hants, England; IFREMER, Ctr Brest, CNRS, Lab Phys Oceans,UBO, F-29280 Plouzane, France; Univ E Anglia, Sch Environm Sci, Norwich NR4 7TJ, Norfolk, England</t>
  </si>
  <si>
    <t>University of Southampton; NERC National Oceanography Centre; Centre National de la Recherche Scientifique (CNRS); Ifremer; Institut de Recherche pour le Developpement (IRD); Universite de Bretagne Occidentale; Institut Universitaire Europeen de la Mer (IUEM); University of East Anglia</t>
  </si>
  <si>
    <t>McDonagh, EL (corresponding author), Southampton Oceaog Ctr, Southampton SO14 3ZH, Hants, England.</t>
  </si>
  <si>
    <t>; Heywood, Karen/L-1757-2016</t>
  </si>
  <si>
    <t>McDonagh, Elaine/0000-0002-8813-4585; Heywood, Karen/0000-0001-9859-0026</t>
  </si>
  <si>
    <t>PII S0967-0637(02)00016-X</t>
  </si>
  <si>
    <t>10.1016/S0967-0637(02)00016-X</t>
  </si>
  <si>
    <t>589UC</t>
  </si>
  <si>
    <t>WOS:000177777900001</t>
  </si>
  <si>
    <t>A view of ACC fronts in streamfunction space</t>
  </si>
  <si>
    <t>hydrography; streamfunction projection; ACC fronts; AAIW; SAMW</t>
  </si>
  <si>
    <t>ANTARCTIC INTERMEDIATE WATER; GRAVEST EMPIRICAL MODE; SOUTHERN-OCEAN; MASSES; PACIFIC</t>
  </si>
  <si>
    <t>The fronts and water masses in the Antarctic Circumpolar Current (ACC) are examined with a streamfunction projection of historical hydrographic data. The study shows that only structural criterion provides circumpolarly consistent and time-invariant definition for ACC fronts. The Polar Front position varies little in the streamfunction space, but the Subantarctic Front exhibits significant meridional deflection. Two types of the Antarctic Intermediate Water (AAIW) are identified: the Pacific-Atlantic type represents the recently-formed AAIW through the along isopycnal subduction of polar surface waters; the Indian-Australian type represents relatively old AAIW which is strongly modified by the Agulhas water. The Subantarctic Mode Water (SAMW) is located in the South Pacific and south of Australia. There is evidence that the SAMW in the southeast Pacific originates from polar surface waters. Therefore the eastward freshening and cooling of SAMW is ascribed to influences from the south. (C) 2002 Elsevier Science Ltd. All rights reserved.</t>
  </si>
  <si>
    <t>Princeton Univ, Geophys Fluid Dynam Lab, Princeton, NJ 08542 USA; Univ Rhode Isl, Grad Sch Oceanog, Narragansett, RI 02882 USA</t>
  </si>
  <si>
    <t>Princeton University; National Oceanic Atmospheric Admin (NOAA) - USA; University of Rhode Island</t>
  </si>
  <si>
    <t>Princeton Univ, Geophys Fluid Dynam Lab, POB 308, Princeton, NJ 08542 USA.</t>
  </si>
  <si>
    <t>cns@gfdl.noaa.gov</t>
  </si>
  <si>
    <t>PII S0967-0637(02)00027-4</t>
  </si>
  <si>
    <t>10.1016/S0967-0637(02)00027-4</t>
  </si>
  <si>
    <t>WOS:000177777900002</t>
  </si>
  <si>
    <t>Sosik, HM; Olson, RJ</t>
  </si>
  <si>
    <t>Phytoplankton and iron limitation of photosynthetic efficiency in the Southern Ocean during late summer</t>
  </si>
  <si>
    <t>phytoplankton; photosynthesis; fluorescence; nutrients; iron; flow cytometry; fast repetition rate fluorometry; southern Ocean; Antarctic Polar Frontal Zone; Ross Sea</t>
  </si>
  <si>
    <t>EQUATORIAL PACIFIC-OCEAN; ANTARCTIC POLAR FRONT; ROSS SEA; ENRICHMENT EXPERIMENTS; HYDROGRAPHIC PROPERTIES; MARINE-PHYTOPLANKTON; PLANKTON COMMUNITIES; PRIMARY PRODUCTIVITY; SEASONAL EVOLUTION; ENERGY-CONVERSION</t>
  </si>
  <si>
    <t>As part of two USJGOFS cruises, we investigated spatial variability in phytoplankton properties across the strong environmental gradient associated with the Antarctic Polar Frontal Zone during late austral summers of 1997 and 1998. Cell properties, including size and an index of pigment content as well as photosynthetic efficiency (as indicated by relative variable fluorescence), changed dramatically across this frontal region. A general trend toward reduced photosynthetic efficiency south of the Polar Front was correlated with low dissolved iron concentration and is consistent with physiological iron limitation in the phytoplankton. We detected no significant differences in photosynthetic efficiency among different size classes of the dominant pico- to nanophytoplankton, despite a systematic community level shift toward larger sized cells south of the Polar Front. In contrast to other cells, those classified as cryptophyte algae showed relatively high photosynthetic efficiency in low iron waters; however, this group was never found in high abundance. One group, all cells less than or equal to 2 mum, showed an unexpected increase in intracellular pigment content (based on single cell chlorophyll fluorescence measurements) south of the Polar Front where dissolved iron concentration and the cells' relative abundance were low. Overall, these results suggest that group- or size-specific differences in physiological status were not directly regulating community structure in the pico- to nanophytoplankton during the late summer season; other processes, such as differential grazing or sinking losses, must be important. (C) 2002 Published by Elsevier Science Ltd.</t>
  </si>
  <si>
    <t>Woods Hole Oceanog Inst, Dept Biol, Woods Hole, MA 02543 USA</t>
  </si>
  <si>
    <t>Sosik, HM (corresponding author), Woods Hole Oceanog Inst, Dept Biol, MS 32, Woods Hole, MA 02543 USA.</t>
  </si>
  <si>
    <t>hsosik@whoi.edu</t>
  </si>
  <si>
    <t>Sosik, Heidi/0000-0002-4591-2842</t>
  </si>
  <si>
    <t>PII S0967-0637(02)00015-8</t>
  </si>
  <si>
    <t>10.1016/S0967-0637(02)00015-8</t>
  </si>
  <si>
    <t>WOS:000177777900005</t>
  </si>
  <si>
    <t>Guly, HR</t>
  </si>
  <si>
    <t>Medicine in the heart of the Antarctic: 1908-2001</t>
  </si>
  <si>
    <t>EMERGENCY MEDICINE JOURNAL</t>
  </si>
  <si>
    <t>Derriford Hosp, Plymouth PL6 8DH, Devon, England</t>
  </si>
  <si>
    <t>Derriford Hospital</t>
  </si>
  <si>
    <t>Guly, HR (corresponding author), Derriford Hosp, Plymouth PL6 8DH, Devon, England.</t>
  </si>
  <si>
    <t>BRITISH MED JOURNAL PUBL GROUP</t>
  </si>
  <si>
    <t>BRITISH MED ASSOC HOUSE, TAVISTOCK SQUARE, LONDON WC1H 9JR, ENGLAND</t>
  </si>
  <si>
    <t>1472-0205</t>
  </si>
  <si>
    <t>EMERG MED J</t>
  </si>
  <si>
    <t>Emerg. Med. J.</t>
  </si>
  <si>
    <t>10.1136/emj.19.4.314</t>
  </si>
  <si>
    <t>Emergency Medicine</t>
  </si>
  <si>
    <t>576JR</t>
  </si>
  <si>
    <t>WOS:000177001500009</t>
  </si>
  <si>
    <t>Convey, P; Wynn-Williams, DD</t>
  </si>
  <si>
    <t>Antarctic soil nematode response to artificial climate amelioration</t>
  </si>
  <si>
    <t>EUROPEAN JOURNAL OF SOIL BIOLOGY</t>
  </si>
  <si>
    <t>Antarctic; climate change; nematoda; soil fauna</t>
  </si>
  <si>
    <t>COMMUNITIES</t>
  </si>
  <si>
    <t>There is increasing evidence supporting rapid trajectories of environmental change in the Antarctic. This study describes preliminary data on soil faunal responses to artificial environmental amelioration obtained using a 'greenhouse' methodology, over the first year of a manipulative study of part of the soil ecosystem of Mars Oasis, Alexander Island in the southern Maritime Antarctic. The methodology, which used two types of UV-absorbing perspex cloche, influences a range of environmental variables, the most significant of which in this study are thought to be temperature and UV-radiation. The fauna of this site is dominated by Nematoda. Responses to amelioration included large increases in nematode population densities, particularly those of the microbivorous genus, Plectus, combined with changes in the relative abundance of taxa. These faunal changes are likely to be mediated via the responses of autotrophs to the environmental manipulations. (C) 2002 Editions scientifiques et medicales Elsevier SAS. All rights reserved.</t>
  </si>
  <si>
    <t>British Antarctic Survey, NERC, High Cross,Mandingley Rd, Cambridge CB3 0ET, England.</t>
  </si>
  <si>
    <t>p.convey@bas.ac.uk</t>
  </si>
  <si>
    <t>1164-5563</t>
  </si>
  <si>
    <t>1778-3615</t>
  </si>
  <si>
    <t>EUR J SOIL BIOL</t>
  </si>
  <si>
    <t>Eur. J. Soil Biol.</t>
  </si>
  <si>
    <t>JUL-DEC</t>
  </si>
  <si>
    <t>PII S1164-5563(02)01155-X</t>
  </si>
  <si>
    <t>10.1016/S1164-5563(02)01155-X</t>
  </si>
  <si>
    <t>597XK</t>
  </si>
  <si>
    <t>WOS:000178245900006</t>
  </si>
  <si>
    <t>Bremer, K</t>
  </si>
  <si>
    <t>Gondwanan evolution of the grass alliance of families (Poales)</t>
  </si>
  <si>
    <t>biogeography; Cretaceous; Ecdeiocoleaceae; Gondwana; Poaceae; Poales</t>
  </si>
  <si>
    <t>BIOGEOGRAPHY; PHYLOGENY; POACEAE; IMPACT; NDHF; RBCL; AGE</t>
  </si>
  <si>
    <t>Phylogenetic interrelationships among all 18 families of Poales were assessed by cladistic analysis of chloroplast DNA rbcL and atpB sequences from 65 species. There are two well-supported main clades; the graminoid clade with Poaceae (grasses), Anarthriaceae, Centrolepidaceae, Ecdeiocoleaceae, Flagellariaceae, Joinvilleaceae, and Restionaceae; and the cyperoid clade with Cyperaceae, Juncaceae, and Thurniaceae. A sister group relationship between Poaceae and Ecdeiocoleaceae is identified with strong support. The sister group of this pair is Joinvilleaceae. These relationships help in elucidating the evolution of grasses and the grass spikelet. Dating of the tree was done by nonparametric rate smoothing of rbcL molecular evolution. Most Poales families date back to the Cretaceous &gt;65 million years ago (mya). Dispersal-vicariance analysis indicates that the Poales originated in South America, the cyperoid clade in West Gondwana (South America or Africa), and the graminoid clade in East Gondwana (Australia). The Trans-Antarctic connection between South America and Australia, and its breakup about 35 mya, probably influenced the evolution of the Poales and the graminoid clade in particular, leading to vicariance between the continents, but the separation of Africa from the other Gondwanan areas, completed about 105 mya, is too old for such a relation.</t>
  </si>
  <si>
    <t>Uppsala Univ, Evolutionary Biol Ctr, Dept Systemat Bot, SE-75236 Uppsala, Sweden</t>
  </si>
  <si>
    <t>Uppsala University</t>
  </si>
  <si>
    <t>Uppsala Univ, Evolutionary Biol Ctr, Dept Systemat Bot, Norbyvagen 18D, SE-75236 Uppsala, Sweden.</t>
  </si>
  <si>
    <t>kare.bremer@ebc.uu.se</t>
  </si>
  <si>
    <t>Bremer, Kare/0009-0001-1981-5854</t>
  </si>
  <si>
    <t>1558-5646</t>
  </si>
  <si>
    <t>583WR</t>
  </si>
  <si>
    <t>WOS:000177434400007</t>
  </si>
  <si>
    <t>Hillenbrand, CD; Fütterer, DK; Grobe, H; Frederichs, T</t>
  </si>
  <si>
    <t>No evidence for a Pleistocene collapse of the West Antarctic Ice Sheet from continental margin sediments recovered in the Amundsen Sea</t>
  </si>
  <si>
    <t>ice-rafted debris; glaciomarine sedimentation; Pleistocene; West Antarctic Ice Sheet; Amundsen Sea</t>
  </si>
  <si>
    <t>SURFACE SEDIMENTS; SOUTH-ATLANTIC; LEVEL RISE; OCEAN; FUTURE; GREENLAND; MECHANISM; GLACIER; RETREAT</t>
  </si>
  <si>
    <t>Records of glaciomarine deposition recovered from the West Antarctic continental margin in the Amundsen Sea allow the reconstruction of the behaviour of the West Antarctic Ice Sheet (WAIS) in response to the natural climatic changes of the last 1.8 million years. Contents of gravel-sized and lithogenic components represent the input and redeposition of glaciogenic debris, whereas variations in the proportions of the calcareous sediment fraction reflect palaeo-productivity changes. All proxies, which are regarded as sensitive to a WAIS collapse, changed markedly during the global climatic cycles, but do not confirm a complete disintegration of the WAIS during the Pleistocene.</t>
  </si>
  <si>
    <t>Alfred Wegener Inst Polar &amp; Marine Res, D-27515 Bremerhaven, Germany; Univ Bremen, Dept Geosci, D-28334 Bremen, Germany</t>
  </si>
  <si>
    <t>Alfred Wegener Inst Polar &amp; Marine Res, POB 120161, D-27515 Bremerhaven, Germany.</t>
  </si>
  <si>
    <t>chillenbrand@awi-bremerhaven.de</t>
  </si>
  <si>
    <t>Grobe, Hannes/0000-0002-4133-2218</t>
  </si>
  <si>
    <t>1432-1157</t>
  </si>
  <si>
    <t>10.1007/S00367-002-0097-7</t>
  </si>
  <si>
    <t>584QU</t>
  </si>
  <si>
    <t>WOS:000177479900001</t>
  </si>
  <si>
    <t>Vaughan, APM; Kelley, SP; Storey, BC</t>
  </si>
  <si>
    <t>Mid-Cretaceous ductile deformation on the Eastern Palmer Land Shear Zone, Antarctica, and implications for timing of Mesozoic terrane collision</t>
  </si>
  <si>
    <t>Antarctic Peninsula; Gondwana; superplumes; orogeny; structural geology</t>
  </si>
  <si>
    <t>PENINSULA; PLATE; MODEL; ARC</t>
  </si>
  <si>
    <t>Ar-Ar dating of high-strain ductile mylonites of the Eastern Palmer Land Shear Zone in the southern Antarctic Peninsula indicates that reverse movement on the shear zone occurred in late Early Cretaceous times (Albian), and not latest Jurassic times as previously supposed. The Eastern Palmer Land Shear Zone forms a major tectonic boundary, separating suspect arc terranes from rocks of Gondwana continental affinity. The dated mylonites are developed in Lower Jurassic plutonic rocks at Mount Sullivan, eastern Palmer Land, and form part of a zone of ductile reverse deformation up to 25 km wide. Biotite from a fine-grained mafic mylonite yields an Ar-Ar cooling age of 102.8 +/- 3.3 Ma. Movement of this age on the Eastern Palmer Land Shear Zone is coeval with circum-Pacific deformation, possibly related to a mantle superplume event, and provides support for allochthonousterrane models for the Antarctic Peninsula with accretion in post-Early Cretaceous times.</t>
  </si>
  <si>
    <t>British Antarctic Survey, Cambridge CB3 0ET, England; Open Univ, Dept Earth Sci, Milton Keynes MK7 6AA, Bucks, England; Univ Canterbury, Christchurch, New Zealand</t>
  </si>
  <si>
    <t>UK Research &amp; Innovation (UKRI); Natural Environment Research Council (NERC); NERC British Antarctic Survey; Open University - UK; University of Canterbury</t>
  </si>
  <si>
    <t>Vaughan, APM (corresponding author), British Antarctic Survey, High Cross,Madingley Rd, Cambridge CB3 0ET, England.</t>
  </si>
  <si>
    <t>Vaughan, Alan PM/B-7829-2010; Kelley, Simon/AAR-7075-2020</t>
  </si>
  <si>
    <t>10.1017/S0016756802006672</t>
  </si>
  <si>
    <t>611QF</t>
  </si>
  <si>
    <t>WOS:000179028700006</t>
  </si>
  <si>
    <t>Canals, M; Casamor, JL; Urgeles, R; Calafat, AM; Domack, EW; Baraza, J; Farran, M; De Batist, M</t>
  </si>
  <si>
    <t>Seafloor evidence of a subglacial sedimentary system off the northern Antarctic Peninsula</t>
  </si>
  <si>
    <t>subglacial sedimentation model; continental margin; Antarctic Peninsula; swath bathymetry</t>
  </si>
  <si>
    <t>SEA; MARGINS; RETREAT</t>
  </si>
  <si>
    <t>Swath-bathymetry data and high-resolution seismic reflection profiles allow us to portray a subglacial sedimentary system off the northern tip of the Antarctic Peninsula, in the Central Bransfield Basin, during the Last Glacial Maximum with unprecedented detail. Postglacial reworking and sedimentation are weak enough for the subglacial morphology of the Last Glacial Maximum to be preserved on the present seafloor. The studied sedimentary system extends 250 km, from similar to1000 in above sea level to similar to2000 m water depth. The data set supports a model for subglacial sedimentary systems that consists of: (1) an upper ice catchment or erosional zone on the innermost continental shelf, extending onshore; (2) a transitional erosional-depositional zone on the inner shelf with drumlinized seafloor; (3) a depositional outer shelf zone with megascale bundle glacial linearions; and (4) a debris apron on the continental slope and base of slope formed under floating ice shelves with debris delivery linked to grounding lines along the shelf break.</t>
  </si>
  <si>
    <t>Univ Barcelona, Dept Stratig Paleontol &amp; Marine Geosci, E-08028 Barcelona, Spain; Hamilton Coll, Dept Geol, Clinton, NY 13323 USA; Inst Marine Sci, Barcelona 08039, Spain; State Univ Ghent, Renard Ctr Marine Geol, B-9000 Ghent, Belgium</t>
  </si>
  <si>
    <t>University of Barcelona; Hamilton College; Consejo Superior de Investigaciones Cientificas (CSIC); CSIC - Centro Mediterraneo de Investigaciones Marinas y Ambientales (CMIMA); CSIC - Instituto de Ciencias del Mar (ICM); Ghent University</t>
  </si>
  <si>
    <t>Canals, M (corresponding author), Univ Barcelona, Dept Stratig Paleontol &amp; Marine Geosci, E-08028 Barcelona, Spain.</t>
  </si>
  <si>
    <t>De Batist, Marc/F-5722-2012; Urgeles, Roger/A-9231-2010; Calafat, Antoni/J-5848-2017; Canals, Miquel/F-4922-2013; Casamor, Jose Luis/J-5719-2017</t>
  </si>
  <si>
    <t>De Batist, Marc/0000-0002-1625-2080; Urgeles, Roger/0000-0001-9438-1753; Calafat, Antoni/0000-0001-7927-3105; Canals, Miquel/0000-0001-5267-7601; Casamor, Jose Luis/0000-0001-9445-6997</t>
  </si>
  <si>
    <t>10.1130/0091-7613(2002)030&lt;0603:SEOASS&gt;2.0.CO;2</t>
  </si>
  <si>
    <t>569NB</t>
  </si>
  <si>
    <t>WOS:000176607500006</t>
  </si>
  <si>
    <t>Atkins, CB; Barrett, PJ; Hicock, SR</t>
  </si>
  <si>
    <t>Cold glaciers erode and deposit: Evidence from Allan Hills, Antarctica</t>
  </si>
  <si>
    <t>cold-based glaciers; abrasion; Allan Hills; Antarctic ice sheet; glacial deposition</t>
  </si>
  <si>
    <t>TEMPERATURES</t>
  </si>
  <si>
    <t>Here we report previously undescribed features of erosion and deposition by a cold (polar) glacier. A recent study challenged the assumption that cold glaciers neither slide nor abrade their beds, but no geological evidence was offered. The features we describe include abrasion marks, subglacial deposits, glaciotectonically deformed substrate, isolated blocks, ice-cored debris mounds, and boulder trains, all products of a recent cold ice advance and retreat. Mapping these features elsewhere in Antarctica will document recent shifts in the East Antarctic Ice Sheet margin, providing new insight on regional mass-balance changes.</t>
  </si>
  <si>
    <t>Victoria Univ Wellington, Antarctic Res Ctr, Wellington, New Zealand; Victoria Univ Wellington, Sch Earth Sci, Wellington, New Zealand; Univ Western Ontario, Dept Earth Sci, London, ON N6A 5B7, Canada</t>
  </si>
  <si>
    <t>Victoria University Wellington; Victoria University Wellington; Western University (University of Western Ontario)</t>
  </si>
  <si>
    <t>Victoria Univ Wellington, Antarctic Res Ctr, Wellington, New Zealand.</t>
  </si>
  <si>
    <t>Atkins, cliff B/E-9458-2011</t>
  </si>
  <si>
    <t>Atkins, C/0000-0002-6513-6924</t>
  </si>
  <si>
    <t>10.1130/0091-7613(2002)030&lt;0659:CGEADE&gt;2.0.CO;2</t>
  </si>
  <si>
    <t>WOS:000176607500020</t>
  </si>
  <si>
    <t>Lutz, M; Dunbar, R; Caldeira, K</t>
  </si>
  <si>
    <t>Regional variability in the vertical flux of particulate organic carbon in the ocean interior</t>
  </si>
  <si>
    <t>organic carbon; primary production; export; flux; remineralization; C-14; Th-234; mass balance; sediment traps; s ratio; p ratio; storage</t>
  </si>
  <si>
    <t>BIOGENIC PARTICLE FLUXES; PLANKTONIC COMMUNITY STRUCTURE; ANTARCTIC POLAR FRONT; SEDIMENT TRAPS; INTERANNUAL VARIABILITY; EQUATORIAL PACIFIC; SOUTHERN-OCEAN; EXPORT PRODUCTION; ARABIAN SEA; BOMB RADIOCARBON</t>
  </si>
  <si>
    <t>[1] Carbon transport within sinking biogenic matter in the ocean contributes to the uptake of CO2 from the atmosphere. Here we assess the extent to which particulate organic carbon (POC) transport to the ocean's interior can be predicted from primary production or export flux. Relationships between POC flux and depth are generally described by a uniform power law or rational decrease with depth, scaled to new or total primary production of POC. While these parameterizations of flux are used in most quantitative biogeochemical models, they are based on data sets from a limited geographic and depth range. We examine these relationships through a review of parameters derived from C-14 uptake experiments, regional remote sensing, Th-234 studies, nitrogen balances, and sediment trap records. Ocean regions considered include sites studied by the Joint Global Ocean Flux Study, Hawaii Ocean Time-series, and Bermuda Atlantic Time-series Study programs and involve observed and radiochemically corrected flux to depth. We demonstrate regional variability in the efficiency of the biological pump to transport organic carbon from surface waters to the ocean's interior. Commonly applied flux relationships, while representative of some areas of the ocean, generally overestimate flux to depth. We estimate that the fraction of carbon transported as POC to depths greater than 1.5 km ranges between 0.10 and 8.8% (1.1% average) of primary production and between 0.28 and 30% (5.7% average) of export from the base of the euphotic zone. We develop empirical parameterizations of flux to depth using region-specific constants. Using a one-dimensional ocean model, we predict that the residence time of biogenic carbon may vary by up to 2 orders of magnitude depending on the regional efficiency of export and vertical transport.</t>
  </si>
  <si>
    <t>Stanford Univ, Dept Geog &amp; Environm Sci, Stanford, CA 94305 USA; Lawrence Livermore Natl Lab, Climate Syst Modeling Grp, Livermore, CA 94550 USA</t>
  </si>
  <si>
    <t>Stanford University; United States Department of Energy (DOE); Lawrence Livermore National Laboratory</t>
  </si>
  <si>
    <t>Stanford Univ, Dept Geog &amp; Environm Sci, Stanford, CA 94305 USA.</t>
  </si>
  <si>
    <t>lutz@pangea.stanford.edu; dunbar@pangea.stanford.edu; kenc@llnl.gov</t>
  </si>
  <si>
    <t>Caldeira, Ken/E-7914-2011</t>
  </si>
  <si>
    <t>Caldeira, Ken/0000-0002-4591-643X; Lutz, Michael/0000-0003-4637-3067; Dunbar, Robert/0000-0002-9728-5609</t>
  </si>
  <si>
    <t>10.1029/2000GB001383</t>
  </si>
  <si>
    <t>611GU</t>
  </si>
  <si>
    <t>WOS:000179008700008</t>
  </si>
  <si>
    <t>Matsumoto, K; Sarmiento, JL; Brzezinski, MA</t>
  </si>
  <si>
    <t>Silicic acid leakage from the Southern Ocean:: A possible explanation for glacial atmospheric pCO2 -: art. no. 1031</t>
  </si>
  <si>
    <t>glacial atmosphericpCO(2); ocean carbon cycle; box model; GCM; marine silicate cycle; Last Glacial Maximum</t>
  </si>
  <si>
    <t>CARBON-ISOTOPE FRACTIONATION; GENERAL-CIRCULATION-MODEL; EQUATORIAL PACIFIC-OCEAN; VOSTOK ICE CORE; BIOGENIC SILICA; TRACER DISTRIBUTIONS; PHYTOPLANKTON BLOOM; IRON FERTILIZATION; ANTHROPOGENIC CO2; EXPORT PRODUCTION</t>
  </si>
  <si>
    <t>[1] Using a simple box model, we investigate the effects of a reduced Si: N uptake ratio by Antarctic phytoplankton on the marine silica cycle and atmospheric pCO(2). Recent incubation experiments demonstrate such a phenomenon in diatoms when iron is added [Hutchins and Bruland, 1998; Takeda, 1998; Franck et al., 2000]. The Southern Ocean may have supported diatoms with reduced Si: N uptake ratios compared to today during the dustier glacial times [Petit et al., 1999]. A similar reduction in the uptake ratio may be realized with an increased production of nondiatom phytoplankton such as Phaeocystis. Our model shows that reduced Si: N export ratios in the Southern Ocean create excess silicic acid, which may then be leaked out to lower latitudes. Any significant consumption of the excess silicic acid by diatoms that leads to an enhancement in their growth at the expense of coccolithophorids diminishes CaCO3 production and therefore diminishes the carbonate pump. In our box model the combination of a reduced carbonate pump and an open system carbonate compensation draw down steady state atmospheric CO2 from the interglacial 277 to 230-242 ppm, depending on where the excess silicic acid is consumed. By comparison, the atmospheric pCO(2) sensitivity of general circulation models to carbonate pump forcing is similar to3.5-fold greater, which, combined with carbonate compensation, can account for peak glacial atmospheric pCO(2). We discuss the importance of the initial rain ratio of CaCO3 to organic carbon on atmospheric pCO(2) and relevant sedimentary records that support and constrain this silicic acid leakage'' scenario.</t>
  </si>
  <si>
    <t>Princeton Univ, Program Atmospher &amp; Ocean Sci, Princeton, NJ 08544 USA; Univ Calif Santa Barbara, Dept Ecol &amp; Evolut &amp; Marine Biol, Santa Barbara, CA 93106 USA; Univ Calif Santa Barbara, Inst Marine Sci, Santa Barbara, CA 93106 USA</t>
  </si>
  <si>
    <t>Princeton University; National Oceanic Atmospheric Admin (NOAA) - USA; University of California System; University of California Santa Barbara; University of California System; University of California Santa Barbara</t>
  </si>
  <si>
    <t>Princeton Univ, Program Atmospher &amp; Ocean Sci, Princeton, NJ 08544 USA.</t>
  </si>
  <si>
    <t>kmatsumo@splash.princeton.edu; jls@princeton.edu; brzezins@lifesci.ucsb.edu</t>
  </si>
  <si>
    <t>Matsumoto, Katsumi/X-3706-2018</t>
  </si>
  <si>
    <t>Matsumoto, Katsumi/0000-0002-5832-9592</t>
  </si>
  <si>
    <t>10.1029/2001GB001442</t>
  </si>
  <si>
    <t>WOS:000179008700014</t>
  </si>
  <si>
    <t>Nakagawa, F; Yoshida, N; Nojiri, Y; Makarov, VN</t>
  </si>
  <si>
    <t>Production of methane from alassesin eastern Siberia:: Implications from its 14C and stable isotopic compositions -: art. no. 1041</t>
  </si>
  <si>
    <t>methane; alass; gas bubble; stable isotope; carbon-14</t>
  </si>
  <si>
    <t>YUKON-KUSKOKWIM DELTA; FRESH-WATER WETLANDS; ATMOSPHERIC METHANE; BACTERIAL METHANE; CO2 REDUCTION; DISCONTINUOUS PERMAFROST; ACETATE FERMENTATION; NORTHERN PEATLAND; CARBON-DIOXIDE; ANTARCTIC ICE</t>
  </si>
  <si>
    <t>[1] The radiocarbon (C-14) and stable isotopic (C-13 and D) compositions of methane and carbon dioxide from alasses (typical landforms in permafrost terrain, consisting of lakes and wetlands) were measured around Yakutsk, eastern Siberia, where few isotope studies have been done. The carbon isotopic compositions of methane and carbon dioxide were used to study the pathways of methane formation in alasses. The mean value of methane and of carbon dioxide in each alass ranged from -63.9 to -58.2parts per thousand and from -16.7 to -0.6parts per thousand, respectively. In small alasses, where the supply of fresh organic matter from surrounding wetland ecosystems is large, methane was produced almost equally from acetate fermentation and CO2 reduction pathways. In larger alasses the CO2 reduction pathway slightly dominates over acetate fermentation, owing to a smaller supply of labile organic matter. The C-13 enrichment in CO2 in large lakes indicates depletion of methane precursors. Gas-bubble methane is depleted in deuterium (the mean deltaD value from lakes is - 360 +/- 14parts per thousand and from shores is -380 +/- 20parts per thousand), which reflects the deuterium-depleted environmental water (from -136 to -117parts per thousand) of alasses. Lake methane relatively enriched in D is interpreted to be the result of depletion in the hydrogen pool in lake sediments. Methane in shallow lakes is somewhat enriched in C-14 relative to modern biogenic methane and is produced from fresh, recently fixed organic matter. The C-14 content of methane from deeper lakes is 10-20% less than that of shallow lake methane, indicating a greater contribution from older methane derived from deeper parts of the sediment. The mean C-13, D, and C-14 of methane from the alasses in general are estimated to be -61.1 +/- 4.4parts per thousand, -363 +/- 20parts per thousand, and 104 +/- 6 pMC, respectively. This corresponds to the reported mean isotopic composition of methane from wetlands for delta(13)C, but shows lower value for deltaD and C-14 content.</t>
  </si>
  <si>
    <t>Tokyo Inst Technol, Interdisciplinary Grad Sch Sci &amp; Engn, Dept Environm Sci &amp; Technol, Midori Ku, Yokohama, Kanagawa 2268502, Japan; Natl Inst Environm Studies, Global Environm Res Grp, Tsukuba, Ibaraki 305, Japan; Russian Acad Sci, Siberian Branch, Permafrost Inst, Geochem Labs, Yakutsk 677010, Russia; Japan Sci &amp; Technol Corp, CREST Project, Kawaguchi, Saitama, Japan</t>
  </si>
  <si>
    <t>Tokyo Institute of Technology; National Institute for Environmental Studies - Japan; Russian Academy of Sciences; Melnikov Permafrost Institute, Siberian Branch of the RAS; Japan Science &amp; Technology Agency (JST)</t>
  </si>
  <si>
    <t>fuminaka@depe.titech.ac.jp; naoyoshi@depe.titech.ac.jp; nohiri@nies.go.jp; lans@imzran.yacc.yakutia.su</t>
  </si>
  <si>
    <t>Yoshida, Naohiro/A-8335-2010; Nojiri, Yukihiro/D-1999-2010; Makarov, Vladimir/AAD-1573-2019</t>
  </si>
  <si>
    <t>Yoshida, Naohiro/0000-0003-0454-3849; Nojiri, Yukihiro/0000-0001-9885-9195;</t>
  </si>
  <si>
    <t>10.1029/2000GB001384</t>
  </si>
  <si>
    <t>WOS:000179008700005</t>
  </si>
  <si>
    <t>McCafferty, DJ; Lurcock, S</t>
  </si>
  <si>
    <t>Occurrence and diet of a Barn Owl (Tyto alba) in the sub-Antarctic</t>
  </si>
  <si>
    <t>IBIS</t>
  </si>
  <si>
    <t>RATS</t>
  </si>
  <si>
    <t>Univ Glasgow, Dept Adult &amp; Continuing Educ, Glasgow G3 6LP, Lanark, Scotland</t>
  </si>
  <si>
    <t>University of Glasgow</t>
  </si>
  <si>
    <t>McCafferty, DJ (corresponding author), Univ Glasgow, Dept Adult &amp; Continuing Educ, 1 Park Dr, Glasgow G3 6LP, Lanark, Scotland.</t>
  </si>
  <si>
    <t>d.mccafferty@educ.gla.ac.uk</t>
  </si>
  <si>
    <t>McCafferty, Dominic/0000-0002-3079-3326</t>
  </si>
  <si>
    <t>0019-1019</t>
  </si>
  <si>
    <t>1474-919X</t>
  </si>
  <si>
    <t>Ibis</t>
  </si>
  <si>
    <t>10.1046/j.1474-919X.2002.00073.x</t>
  </si>
  <si>
    <t>564PR</t>
  </si>
  <si>
    <t>WOS:000176323200020</t>
  </si>
  <si>
    <t>Nel, DC; Ryan, PG; Nel, JL; Klages, NTW; Wilson, RP; Robertson, G; Tuck, GN</t>
  </si>
  <si>
    <t>Foraging interactions between Wandering Albatrosses Diomedea exulans breeding on Marion Island and long-line fisheries in the southern Indian Ocean</t>
  </si>
  <si>
    <t>POPULATION-DYNAMICS; SEABIRD MORTALITY</t>
  </si>
  <si>
    <t>Wandering Albatrosses Diomedea exulans are frequently killed when they attempt to scavenge baited hooks deployed by long-line fishing vessels. We studied the foraging ecology of Wandering Albatrosses breeding on Marion Island in order to assess the scale of interactions with known long-line fishing fleets. During incubation and late chick-rearing, birds foraged further away from the island, in warmer waters, and showed high spatial overlap with areas of intense tuna Thunnus spp. long-line fishing. During early chick-rearing, birds made shorter foraging trips and showed higher spatial overlap with the local Patagonian Toothfish Dissostichus eleginoides long-line fishery. Tracks of birds returning with offal from the Toothfish fishery showed a strong association with positions at which Toothfish long-lines were set and most diet samples taken during this stage contained fishery-related items. Independent of these seasonal differences, females foraged further from the islands and in warmer waters than males. Consequently, female distribution overlapped more with tuna long-line fisheries, whereas males interacted more with the Toothfish long-line fishery. These factors could lead to differences in the survival probabilities of males and females. Non-breeding birds foraged in warmer waters and showed the highest spatial overlap with tuna long-line fishing areas. The foraging distribution of Marion Island birds showed most spatial overlap with birds from the neighbouring Crozet Islands during the late chick-rearing and non-breeding periods. These areas of foraging overlap also coincided with areas of intense tuna long-line fishing south of Africa. As the population trends of Wandering Albatrosses at these two localities are very similar, it is possible that incidental mortality during the periods when these two populations show the highest spatial overlap could be driving these trends.</t>
  </si>
  <si>
    <t>Univ Cape Town, Percy Fitzpatrick Inst African Ornithol, ZA-7701 Rondebosch, South Africa; Port Elizabeth Museum, ZA-6013 Humewood, South Africa; Inst Meereskunde, D-24105 Kiel, Germany; Australian Antarctic Div, Kingston, Tas 7050, Australia; CSIRO Marine Res, Hobart, Tas 7001, Australia</t>
  </si>
  <si>
    <t>University of Cape Town; Australian Antarctic Division; Commonwealth Scientific &amp; Industrial Research Organisation (CSIRO)</t>
  </si>
  <si>
    <t>Nel, DC (corresponding author), BirdLife Int, Seabird Conservat Programme, BirdLife S Africa, Suite 105,Vineyards Ctr,Adam Tas Rd, ZA-7599 Stellenbosch, South Africa.</t>
  </si>
  <si>
    <t>Tuck, Geoffrey N/E-2356-2012</t>
  </si>
  <si>
    <t>BRITISH ORNITHOLOGISTS UNION</t>
  </si>
  <si>
    <t>TRING</t>
  </si>
  <si>
    <t>C/O NATURAL HISTORY MUSEUM, SUB-DEPT ORNITHOLOGY, TRING HP23 6AP, HERTS, ENGLAND</t>
  </si>
  <si>
    <t>E141</t>
  </si>
  <si>
    <t>E154</t>
  </si>
  <si>
    <t>10.1046/j.1474-919X.2002.00092.x</t>
  </si>
  <si>
    <t>WOS:000176323200003</t>
  </si>
  <si>
    <t>Reijmer, H; van den Broeke, R; Scheele, MP</t>
  </si>
  <si>
    <t>Air parcel trajectories and snowfall related to five deep drilling locations in Antarctica based on the ERA-15 dataset</t>
  </si>
  <si>
    <t>DRONNING-MAUD-LAND; DEUTERIUM EXCESS; TEMPORAL VARIABILITY; MOISTURE SOURCE; ECMWF ANALYSES; DOME-C; PRECIPITATION; ACCUMULATION; DELTA-O-18; RESOLUTION</t>
  </si>
  <si>
    <t>Five-day backward air parcel trajectories are used to define potential moisture sources of snow falling at five Antarctic deep drilling locations: Byrd, DML05, Dome C, Dome F, and Vostok. The trajectory calculations are based on European Centre for Medium-Range Weather Forecasts reanalysis data, ERA-15 (1979-93). Based on model precipitation, a distinction is made between cases with and without snowfall at the point of arrival. ERA-15 precipitation is in reasonable agreement with measured accumulation at Byrd, but seriously underestimates the amount of precipitation on the East Antarctic ice sheet. The trajectories show that the oceans closest to the site contribute the most moisture. The latitude band contributing most (similar to30% of the total annual precipitation) is 508-60degreesS, that is, the area just north of the sea-ice edge. The calculated trajectories show seasonal dependency, resulting in a seasonal cycle in the moisture sources, which is further enhanced by a seasonal cycle in the amount of precipitation. The interannual variability of the source regions is of the order of 3degrees latitude. At DML05, a significant northward moving moisture source region is detected, while at Dome C a significant southward movement is observed.</t>
  </si>
  <si>
    <t>Univ Utrecht, Inst Marine &amp; Atmospher Res, NL-3508 TA Utrecht, Netherlands; Royal Netherlands Meteorol Inst, De Bilt, Netherlands</t>
  </si>
  <si>
    <t>Utrecht University; Royal Netherlands Meteorological Institute</t>
  </si>
  <si>
    <t>Reijmer, H (corresponding author), Univ Utrecht, Inst Marine &amp; Atmospher Res, POB 80005, NL-3508 TA Utrecht, Netherlands.</t>
  </si>
  <si>
    <t>Reijmer, Carleen H/G-8736-2011; Van den Broeke, Michiel R./F-7867-2011</t>
  </si>
  <si>
    <t>Reijmer, Carleen H/0000-0001-8299-3883; Van den Broeke, Michiel R./0000-0003-4662-7565</t>
  </si>
  <si>
    <t>10.1175/1520-0442(2002)015&lt;1957:APTASR&gt;2.0.CO;2</t>
  </si>
  <si>
    <t>570JQ</t>
  </si>
  <si>
    <t>WOS:000176655500010</t>
  </si>
  <si>
    <t>Abele, D; Heise, K; Pörtner, HO; Puntarulo, S</t>
  </si>
  <si>
    <t>Temperature-dependence of mitochondrial function and production of reactive oxygen species in the intertidal mud clam Mya arenaria</t>
  </si>
  <si>
    <t>mitochondrial function; reactive oxygen species; heat stress; antioxidant; mud clam; Mya arenaria</t>
  </si>
  <si>
    <t>HYDROGEN-PEROXIDE PRODUCTION; HEART MITOCHONDRIA; THERMAL TOLERANCE; ANTARCTIC BIVALVE; OXIDATIVE STRESS; LIVER-MITOCHONDRIA; H2O2 FORMATION; PH; GENERATION; LIMITATION</t>
  </si>
  <si>
    <t>Mitochondrial respiration, energetic coupling to phosphorylation and the production of reactive oxygen species (ROS) were studied in mitochondria isolated from the eurythermal bivalve Mya arenaria (Myoidea) from a low-shore intertidal population of the German Wadden Sea. Measurements were conducted both within the range of the habitat temperatures (5-15degreesC) and when subjected to heat exposure at 20degreesC and 25degreesC. Experimental warming resulted in an increase in the rate of state 3 and state 4 respiration in isolated mitochondria. The highest respiratory coupling ratios (RCR) were found at 15degreesC; at higher temperatures mitochondrial coupling decreased, and release of ROS doubled between 15 and 25degreesC. ROS production was 2-3 % of total oxygen consumption in state 3 (0.3-0.5 nmol ROS mg(-1) protein min(-1)) at the habitat temperature, reaching a maximum of 4.3% of state 3 respiration and 7% of oligomycin-induced state 4+ respiration under heat stress. Thus, state 4 respiration, previously interpreted exclusively as a measure of proton leakage, included a significant contribution from ROS formation in this animal, especially under conditions of heat stress. Oxygen radical formation was directly dependent on temperature-controlled respiration rates in states 3 and 4 and inversely related to mitochondrial coupling (RCR+) in state 4. Mitochondrial ROS formation is therefore involved in cellular heat stress in this eurythermal marine ectotherm.</t>
  </si>
  <si>
    <t>Alfred Wegener Inst Polar &amp; Marine Res, D-27568 Bremerhaven, Germany; Univ Buenos Aires, Sch Pharm &amp; Biochem, Buenos Aires, DF, Argentina</t>
  </si>
  <si>
    <t>Abele, D (corresponding author), Alfred Wegener Inst Polar &amp; Marine Res, Columbusstr, D-27568 Bremerhaven, Germany.</t>
  </si>
  <si>
    <t>UNSP JEB3947</t>
  </si>
  <si>
    <t>575RB</t>
  </si>
  <si>
    <t>WOS:000176960600001</t>
  </si>
  <si>
    <t>Polyak, L; Korsun, S; Febo, LA; Stanovoy, V; Khusid, T; Hald, M; Paulsen, BE; Lubinski, DJ</t>
  </si>
  <si>
    <t>Benthic foraminiferal assemblages from the southern Kara Sea, a river-influenced Arctic marine environment</t>
  </si>
  <si>
    <t>MICROHABITAT PREFERENCES; BARENTS SEA; OCEAN; SEDIMENTS; FJORD; GLACIATION; GREENLAND; SVALBARD; ECOLOGY; WATER</t>
  </si>
  <si>
    <t>Calcareous foraminifers and hydrographic parameters in 113 bottom samples from the southern Kara Sea were examined to improve the usage of foraminifers as paleoenvironmental proxies for river-dominated high-latitude continental shelves. Foraminiferal taxa form a succession from near-estuarine to distal open-sea locations, characterized by a gradual increase in salinities. Foraminiferal assemblages are discriminated into three groups: river-proximal, -intermediate, and -distal. This succession appears to be controlled by a combination of feeding conditions and bottom salinities, and are related to riverine fluxes of freshwater, organic matter, and sediments. Morphological and behavioral adaptations of foraminifers to specific environments are discussed.</t>
  </si>
  <si>
    <t>Ohio State Univ, Byrd Polar Res Ctr, Columbus, OH 43210 USA; PP Shirshov Oceanol Inst, Moscow 117851, Russia; Arctic &amp; Antarctic Res Inst, St Petersburg 199397, Russia; Univ Tromso, Inst Geol, N-9037 Tromso, Norway; Univ Colorado, Inst Arctic &amp; Alpine Res, Boulder, CO 80309 USA</t>
  </si>
  <si>
    <t>University System of Ohio; Ohio State University; Russian Academy of Sciences; Shirshov Institute of Oceanology; Arctic &amp; Antarctic Research Institute; UiT The Arctic University of Tromso; University of Colorado System; University of Colorado Boulder</t>
  </si>
  <si>
    <t>Polyak, L (corresponding author), Ohio State Univ, Byrd Polar Res Ctr, 1090 Carmack Rd, Columbus, OH 43210 USA.</t>
  </si>
  <si>
    <t>polyak.l@osu.edu</t>
  </si>
  <si>
    <t>Korsun, Sergei/I-4613-2013</t>
  </si>
  <si>
    <t>Korsun, Sergei/0000-0003-1886-6470; LUBINSKI, DAVID/0000-0001-8167-2367</t>
  </si>
  <si>
    <t>10.2113/32.3.252</t>
  </si>
  <si>
    <t>578VB</t>
  </si>
  <si>
    <t>WOS:000177140600004</t>
  </si>
  <si>
    <t>Gudmundsson, G</t>
  </si>
  <si>
    <t>Evolution and bipolar distribution of Cornuspiroides (Foraminifera): Phylogenetic inference using morphological characters and parsimony</t>
  </si>
  <si>
    <t>SYSTEMATICS</t>
  </si>
  <si>
    <t>The evolutionary relationship of three species belonging to the genus Cornuspiroides is inferred using four species of Cornuspira and the monotypic genus Cornuspirella as an outgroup. All known morphological features of the test are coded as independent characters (synapomorphies) and their evolutionary relationship is inferred using parsimony. The genus Cornuspiroides appears as a monophyletic group on the resulting evolutionary trees, although evidential support is weak (54%). The species Cornuspiroides striolatus and Cornuspiroides rotundus are endemics of the shallow and cold waters of the Arctic and the Antarctic seas, respectively. These two endemic species are found to share an immediate common ancestry, although support is low (61%). The closest relative of the two polar species is inferred to be the little known Cornuspiroides profundum, which has been found living in the cold and shallow waters of the Arctic and also the temperate waters of the North Atlantic. Limitations of available data preclude C. profundum from being designated as their actual ancestor. The current classificatory groups of Cornuspiroidinae, Cornuspira, and Cornuspirinae appear as artificial paraphyletic groups on the inferred tree and have no significant evidential support of characters.</t>
  </si>
  <si>
    <t>Iceland Inst &amp; Museum Nat Hist, IS-125 Reykjavik, Iceland</t>
  </si>
  <si>
    <t>Gudmundsson, G (corresponding author), Iceland Inst &amp; Museum Nat Hist, POB 5320, IS-125 Reykjavik, Iceland.</t>
  </si>
  <si>
    <t>gg@ni.is</t>
  </si>
  <si>
    <t>CUSHMAN FOUNDATION FORAMINIFERAL RESEARCH</t>
  </si>
  <si>
    <t>PO BOX 7065, LAWRENCE, KS 66044-7065 USA</t>
  </si>
  <si>
    <t>10.2113/32.3.308</t>
  </si>
  <si>
    <t>WOS:000177140600006</t>
  </si>
  <si>
    <t>Goodge, JW; Myrow, P; Williams, IS; Bowring, SA</t>
  </si>
  <si>
    <t>Age and provenance of the Beardmore Group, Antarctica: Constraints on Rodinia supercontinent breakup</t>
  </si>
  <si>
    <t>JOURNAL OF GEOLOGY</t>
  </si>
  <si>
    <t>CENTRAL TRANSANTARCTIC MOUNTAINS; NIMROD GLACIER AREA; PROTEROZOIC SUPERCONTINENT; ZIRCON GEOCHRONOLOGY; PENSACOLA MOUNTAINS; ISOTOPIC EVIDENCE; PACIFIC MARGIN; AUSTRALIA; LAURENTIA; GONDWANA</t>
  </si>
  <si>
    <t>New U-Pb ages for detrital and igneous zircons constrain the depositional age and sedimentary provenance of the Beardmore Group, a siliciclastic succession that records transformation of the East Antarctic margin during Rodinia breakup and subsequent Gondwana amalgamation. We divide rocks previously mapped as the Beardmore Group into (1) an inboard late Neoproterozoic assemblage (probably less than or equal to670 Ma) and (2) a volumetrically dominant, outboard assemblage that is latest Early Cambrian or younger (less than or equal to520 Ma). The inboard assemblage contains mature, multicycle sediment derived from mixed cratonic sources dominated by 2.8- and 1.9-1.4-Ga components. It was deposited in a platformal-to-shoreline setting along an existing rifted margin. A new zircon age of 668 +/- 1 Ma for mafic igneous rocks within this assemblage is younger than previously reported, indicating deposition in the late Neoproterozoic and raising questions as to the age of rifting. The outboard assemblage contains first-cycle sediment with dramatically different provenance, including fresh, young (580-520 Ma), locally derived igneous material and contributions from similar to1400-, 1100-940-, and similar to825-Ma sources. The youngest zircon ages (525-522 Ma) are consistent with newly discovered Cambrian-aspect trace fossils. Therefore, these outboard rocks are best considered as siliciclastic units of the upper Byrd Group. The detrital age patterns suggest a change from passive-margin sedimentation derived from the adjacent craton to a younger succession receiving detritus from an active-margin igneous source. Unique similar to1.4-Ga age components, unknown in Antarctic and Australian cratons, coupled with eastward paleocurrents in the outboard assemblage, indicate that the similar to1.4-Ga Laurentian anorogenic igneous province may extend beneath the polar ice cap in Antarctica. Together, the new age data support a Rodinia fit between Antarctica and Laurentia and suggest that sedimentation across the rifted margin was substantially younger than previously inferred.</t>
  </si>
  <si>
    <t>So Methodist Univ, Dept Geol Sci, Dallas, TX 75275 USA; Colorado Coll, Dept Geol, Colorado Springs, CO 80903 USA; Australian Natl Univ, Res Sch Earth Sci, Geochronol &amp; Isotope Geochem Grp, Canberra, ACT 0200, Australia; MIT, Dept Earth Atmospher &amp; Planetary Sci, Cambridge, MA 02139 USA</t>
  </si>
  <si>
    <t>Southern Methodist University; Colorado College; Australian National University; Massachusetts Institute of Technology (MIT)</t>
  </si>
  <si>
    <t>Goodge, JW (corresponding author), Univ Minnesota, Dept Geol Sci, Duluth, MN 55812 USA.</t>
  </si>
  <si>
    <t>Williams, Ian S/F-4302-2012; SHRIMP, ANU/F-5312-2011; Goodge, John/GQI-3878-2022</t>
  </si>
  <si>
    <t>Goodge, John/0000-0003-2578-3147; Williams, Ian/0000-0003-4465-6493</t>
  </si>
  <si>
    <t>0022-1376</t>
  </si>
  <si>
    <t>J GEOL</t>
  </si>
  <si>
    <t>J. Geol.</t>
  </si>
  <si>
    <t>10.1086/340629</t>
  </si>
  <si>
    <t>558AE</t>
  </si>
  <si>
    <t>WOS:000175941200002</t>
  </si>
  <si>
    <t>Brinksma, EJ; Ajtic, JV; Bergwerff, JB; Bodeker, GE; Boyd, IS; de Haan, JF; Hogervorst, W; Hovenier, JW; Swart, DPJ</t>
  </si>
  <si>
    <t>Five years of observations of ozone profiles over Lauder, New Zealand</t>
  </si>
  <si>
    <t>lidar; ozone; sonde; SAGE II; Lauder; intrusion</t>
  </si>
  <si>
    <t>STRATOSPHERE-TROPOSPHERE EXCHANGE</t>
  </si>
  <si>
    <t>[1] Altitude profiles of ozone (O-3) over Lauder (45degreesS, 170degreesE) performed using a lidar, ozonesondes, and the satellite-borne Stratospheric Aerosol and Gas Experiment (SAGE II) instrument are presented. These data form one of the few long-term sets of O-3 profiles at a Southern Hemisphere location. In the 5 years of data presented, the dominant variation is the annual cycle, the phase and amplitude of which differ below and above 27.5 km. Superposed are irregular episodic variations, caused by various processes. The first process studied is stratosphere-troposphere exchange, characterized by dry and O-3-rich air residing in the troposphere, which was found in 21% of the measurements. The second relates to the positioning of the higher polar vortex over Lauder, often in combination with the exchange of air between midlatitude and subtropical stratospheric regions. We present examples of this which were observed over Lauder during the 1997 winter. This winter was selected for further study because of the record-low O-3 amounts measured. The third process is mixing of O-3-depleted vortex air with midlatitude air after the vortex breakup. We present one example, which shows that a filament originating from the depleted Antarctic vortex significantly lowers O-3 amounts over Lauder around 27 November 1997. There is thus a connection between Antarctic O-3 depletion and later decrease of O-3 amounts at a Southern Hemisphere midlatitude location, namely Lauder.</t>
  </si>
  <si>
    <t>Free Univ Amsterdam, Fac Sci, Div Phys &amp; Astron, NL-1081 HV Amsterdam, Netherlands; Univ Canterbury, Dept Phys &amp; Astron, Christchurch 1, New Zealand; Natl Inst Publ Hlth &amp; Environm, Air Res Lab, NL-3720 BA Bilthoven, Netherlands; Natl Inst Water &amp; Atmospher Res, Lauder, New Zealand; Natl Inst Water &amp; Atmospher Res, Environm Res Inst, Wellington, New Zealand; Univ Amsterdam, Astron Inst Anton Pannekoek, Amsterdam, Netherlands</t>
  </si>
  <si>
    <t>Vrije Universiteit Amsterdam; University of Canterbury; Netherlands National Institute for Public Health &amp; the Environment; National Institute of Water &amp; Atmospheric Research (NIWA) - New Zealand; National Institute of Water &amp; Atmospheric Research (NIWA) - New Zealand; University of Amsterdam</t>
  </si>
  <si>
    <t>Royal Netherlands Meteorol Inst, Climate Res &amp; Seismol Dept, Atmospher Composit Res Div, POB 201, NL-3730 AE De Bilt, Netherlands.</t>
  </si>
  <si>
    <t>brinksma@knmi.nl; j.ajtic@phys.canterbury.ac.nz; hans.bergwerff@rivm.nl; g.bodeker@niwa.cri.nz; i.boyd@niwa.com; johan.de.haan@knmi.nl; wh@nat.vu.nl; hovenier@nat.vu.nl; daan.swart@rivm.nl</t>
  </si>
  <si>
    <t>Bodeker, Greg E/A-8870-2008; Boersma, Klaas/Q-8393-2019; Ajtic, Jelena/HKO-2665-2023</t>
  </si>
  <si>
    <t>Boersma, Klaas/0000-0002-4591-7635; Ajtic, Jelena/0000-0001-8200-4168; Bodeker, Gregory/0000-0003-1094-5852</t>
  </si>
  <si>
    <t>D14</t>
  </si>
  <si>
    <t>10.1029/2001JD000737</t>
  </si>
  <si>
    <t>610TQ</t>
  </si>
  <si>
    <t>WOS:000178977300013</t>
  </si>
  <si>
    <t>Cede, A; Luccini, E; Nuñez, L; Piacentini, RD; Blumthaler, M</t>
  </si>
  <si>
    <t>Monitoring of erythemal irradiance in the Argentine ultraviolet network -: art. no. 4165</t>
  </si>
  <si>
    <t>SINGLE-SCATTERING ALBEDO; SCAR-B EXPERIMENT; OZONE DEPLETION; RADIATION; UV; SMOKE; AEROSOLS; SURFACE</t>
  </si>
  <si>
    <t>[1] The Ultraviolet (UV) Monitoring Network of the Argentine Servicio Meteorologico Nacional (National Weather Service) consists at present of nine stations from 22degrees to 64degrees latitude south equipped with biometers, broadband instruments that measure the erythemal irradiance. After a complete calibration of the instruments and reprocessing of the database a preliminary climatology of erythemal irradiance and erythemal exposure was built by analyzing the data of the first 2-4 years for each station. The influence of the measurement interval on the UV Index is quantified. A tropical high-altitude station in the Andean Altiplano reaches top UV Index values of 20 and daily doses of 10.6 kJ/m(2), among the highest UV levels worldwide. Characteristic UV lndex and erythemal exposure in the central, most populated areas of Argentina are similar to those in other Southern Hemisphere stations and are higher than in comparable latitude regions of the Northern Hemisphere. The southern stations in the UV network are often affected by the Antarctic ozone hole. By comparing clear-sky irradiance measurements with aerosol-free radiative transfer calculations using the Total Ozone Mapping Spectrometer surface albedo climatology, typical attenuations from 2 to 15% due to aerosols were determined, reaching maxima of 30% at urban locations. On the other hand, increases of similar to3-6% due to higher surface albedo were obtained for snow-free conditions, and increases up to 15% were obtained for snow-covered terrain.</t>
  </si>
  <si>
    <t>Univ Innsbruck, Inst Med Phys, A-6020 Innsbruck, Austria; Univ Nacl Rosario, Consejo Nacl Invest Cient &amp; Tecn, Inst Fis Rosario, RA-2000 Rosario, Santa Fe, Argentina; Univ Nacl Rosario, Fac Ciencias Exactas Ingn &amp; Agrimensura, RA-2000 Rosario, Santa Fe, Argentina; Serv Meteorol Nacl Argentina, Buenos Aires, DF, Argentina</t>
  </si>
  <si>
    <t>University of Innsbruck; National University of Rosario; Consejo Nacional de Investigaciones Cientificas y Tecnicas (CONICET); National University of Rosario</t>
  </si>
  <si>
    <t>Univ Innsbruck, Inst Med Phys, Mullerstr 44, A-6020 Innsbruck, Austria.</t>
  </si>
  <si>
    <t>alexander.cede@uibk.ac.at; luccini@ifir.edu.ar; lnunez@meteofa.mil.ar; ruben@ifir.edu.ar; mario.blumthaler@uibk.ac.at</t>
  </si>
  <si>
    <t>D13</t>
  </si>
  <si>
    <t>10.1029/2001JD001206</t>
  </si>
  <si>
    <t>610TN</t>
  </si>
  <si>
    <t>WOS:000178977100020</t>
  </si>
  <si>
    <t>Ricard, V; Jaffrezo, JL; Kerminen, VM; Hillamo, RE; Teinilä, K; Maenhaut, W</t>
  </si>
  <si>
    <t>Size distributions and modal parameters of aerosol constituents in northern Finland during the European Arctic Aerosol Study -: art. no. 4208</t>
  </si>
  <si>
    <t>aerosol chemistry; high latitudes; size distribution</t>
  </si>
  <si>
    <t>SEA-SALT PARTICLES; PARTICULATE SULFATE; ATMOSPHERIC AEROSOL; DICARBOXYLIC-ACIDS; COASTAL SITE; ANTARCTIC ATMOSPHERE; REACTIVE CHLORINE; CASCADE IMPACTOR; MARINE AEROSOLS; SULFUR CYCLE</t>
  </si>
  <si>
    <t>[1] Size resolved aerosol components (major ions, selected organic acids, and crustal elements) were investigated with 12-stage impactors during the summers 1997 and 1998 and winter 1997-1998 at Sevettijarvi in Finnish Lapland. Concentrations are compared with those obtained with simultaneous measurements with bulk sampling and show agreement within 15%. The samples were classified depending on their degree of marine and continental origin. Modal parameters (aerodynamic diameters and dispersion) were identified from the size distribution of each species. In general, the aerosol comprises two submicron modes (condensation mode at 0.30 +/- 0.05 mum and droplet mode at 0.65 +/- 0.15 mum) and one or two supermicron modes (the first one between 3.5 and 4.5 mum associated with marine species and the second one between 5 and 6 mum associated with crustal species). The results suggest internal mixing of nss sulfate, ammonium, and organic acids in the submicron modes, and differences between the classes of air masses allow to draw hypotheses on the formation processes involved for each species. The results for the supermicron modes indicate interactions of nss sulfate, ammonium, nitrate, and organic acids with the marine and crustal particles, which increase from the marine to the continental classes. During summer and winter the supermicron mass fraction largely decreases from the marine air masses to continental ones.</t>
  </si>
  <si>
    <t>Lab Glaciol &amp; Geophys Environm, F-38402 St Martin Dheres, France; Finnish Meteorol Inst, FIN-00810 Helsinki, Finland; State Univ Ghent, Inst Nucl Sci, B-9000 Ghent, Belgium</t>
  </si>
  <si>
    <t>Finnish Meteorological Institute; Ghent University</t>
  </si>
  <si>
    <t>Ricard, V (corresponding author), Lab Glaciol &amp; Geophys Environm, 54 Rue Moliere,BP96, F-38402 St Martin Dheres, France.</t>
  </si>
  <si>
    <t>jaffrezo, jean-luc/HIU-0016-2022; Maenhaut, Willy/M-3091-2013; Kerminen, Veli-Matti/M-9026-2014</t>
  </si>
  <si>
    <t>Maenhaut, Willy/0000-0002-4715-4627;</t>
  </si>
  <si>
    <t>10.1029/2001JD001130</t>
  </si>
  <si>
    <t>WOS:000178977300021</t>
  </si>
  <si>
    <t>Turner, J; Lachlan-Cope, TA; Marshall, GJ; Morris, EM; Mulvaney, R; Winter, W</t>
  </si>
  <si>
    <t>Spatial variability of Antarctic Peninsula net surface mass balance</t>
  </si>
  <si>
    <t>snowfall; precipitation; Antarctica; mass balance</t>
  </si>
  <si>
    <t>RONNE ICE SHELF; SNOW-ACCUMULATION; OXYGEN-ISOTOPE; PRECIPITATION; RETREAT; FIRN; TEMPERATURE; ISLAND; MODEL</t>
  </si>
  <si>
    <t>[1] Measurements from ice cores and snow pits collected over the last 50 years are used to examine how net surface mass balance varies across the Antarctic Peninsula to give the first detailed map of mass balance for the region. A total of 211 reliable mass balance measurements were available for the preparation of the map, but some areas were found to be very data sparse. The analysis suggests that the largest values of mass balance are found along the spine of the northern part of the peninsula, where over 2.5 m yr(-1) water equivalent (WE) has been measured. A secondary peak of more than 2.0 m yr(-1) WE is determined along the mountains of eastern Alexander Island. Precipitation minus evaporation (P-E) fields from the European Centre for MediumRange Weather Forecasts reanalysis project are compared with our analysis of in situ data. The model fields are found to have peak values of P-E of only half the amounts found from the measurements; the greatest model values are located on the western side of the peninsula. Areas where a high density of in situ data is available, including King George VI Sound and the high south central plateau part of the peninsula, show a high spatial variability of net surface mass balance, suggesting that local orographic features play a major part in dictating the mass balance.</t>
  </si>
  <si>
    <t>j.turner@bas.ac.uk</t>
  </si>
  <si>
    <t>Morris, Elizabeth M/A-6081-2012; Mulvaney, Robert/K-3929-2012</t>
  </si>
  <si>
    <t>Turner, John/0000-0002-6111-5122; Mulvaney, Robert/0000-0002-5372-8148</t>
  </si>
  <si>
    <t>10.1029/2001JD000755</t>
  </si>
  <si>
    <t>WOS:000178977100012</t>
  </si>
  <si>
    <t>Keeling, RF</t>
  </si>
  <si>
    <t>On the freshwater forcing of the thermohaline circulation in the limit of low diapycnal mixing</t>
  </si>
  <si>
    <t>Antarctic Circumpolar Current; mixed boundary conditions; world ocean; thermohaline circulation; climate stability</t>
  </si>
  <si>
    <t>LARGE-SCALE CIRCULATION; INTERBASIN EXCHANGE; SOUTHERN-OCEAN; OVERTURNING CIRCULATION; GENERAL-CIRCULATION; INTERMEDIATE WATER; ATMOSPHERIC CO2; ABYSSAL OCEAN; DRAKE PASSAGE; INDIAN-OCEAN</t>
  </si>
  <si>
    <t>[1] A conjecture is offered on the stability characteristics of the thermohaline circulation in the limit of very low diapycnal mixing. In this limit the action of the winds on the Antarctic Circumpolar Current (ACC) can sustain a deep overturning pattern known as the reconfigured conveyor,'' consisting of upwelling around Antarctica and sinking in the North Atlantic, as shown by the work of Toggweiler and others. It is conjectured that in this limit, northern sinking should be stabilized in an on'' state because of the penetration of freshwater into the ocean interior via isopycnal layers that outcrop to the surface within and south of the ACC. This conjecture is supported by qualitative arguments and by a hydraulic model for the reconfigured conveyor. The hydraulic model takes into account the freshwater budgets of the Atlantic basin, Antarctic surface waters, and the remaining oceans. It also takes into account, in simple terms, wind-driven Antarctic upwelling, eddy transports and mixing within the ACC, changes in pycnocline depth, the role of temperature forcing, and advective feedbacks on salinity. The hydraulic model suggests that multiple on/off'' states of the reconfigured conveyor are possible but only if the deep waters that form in the Northern Hemisphere are fresher than the intermediate waters that form in the vicinity of the ACC in the Southern Hemisphere, a condition that is not satisfied in the modern ocean.</t>
  </si>
  <si>
    <t>Keeling, RF (corresponding author), Univ Calif San Diego, Scripps Inst Oceanog, 9500 Gilman Dr, La Jolla, CA 92093 USA.</t>
  </si>
  <si>
    <t>rkeeling@ucsd.edu</t>
  </si>
  <si>
    <t>C7</t>
  </si>
  <si>
    <t>10.1029/2000JC000685</t>
  </si>
  <si>
    <t>611AR</t>
  </si>
  <si>
    <t>WOS:000178994700009</t>
  </si>
  <si>
    <t>Vanneste, LE; Larter, RD</t>
  </si>
  <si>
    <t>Sediment subduction, subduction erosion, and strain regime in the northern South Sandwich forearc</t>
  </si>
  <si>
    <t>South Sandwich; subduction; erosion; forearc; mutibeam</t>
  </si>
  <si>
    <t>RIDGE ACCRETIONARY COMPLEX; MIDDLE AMERICA TRENCH; SCOTIA-SEA REGION; TECTONIC EROSION; CONVERGENT MARGIN; MUD DIAPIRISM; CHILE TRENCH; CONTINENTAL-MARGIN; PLATE TECTONICS; JAPAN TRENCH</t>
  </si>
  <si>
    <t>[1] The first swath bathymetry and side-scan sonar imagery from the South Sandwich forearc reveals detailed seafloor morphology, tectonic fabric, and sedimentary features in an area where plate convergence is approximately normal to the trench. Simultaneously collected seismic reflection, gravity, and magnetic data provide information about the structure and composition of the forearc crust. Interpretation of these data together with the marine magnetic record of seafloor spreading in the east Scotia Sea back arc basin since 15 Ma has enabled quantitative estimation of sediment subduction and subduction erosion rates. Any accretionary prism present is constrained to be very small, extending 6 km or less from the trench. The contrast between this result and a time-integrated estimate of potential accretionary prism volume suggests that &gt;95% of the sediment which has entered the trench since 15 Ma has been subducted. The position of the South Sandwich island arc in relation to back arc magnetic lineations implies that the arc has migrated 70 km westward relative to the Sandwich plate since 15 Ma. Taking account of published observations concerning the typical geometric evolution of arc-trench systems, the average rate of forearc slope retreat during this interval is inferred to be 3.1-4.7 km Myr(-1). Gravity modeling suggests that the forearc crust averages less than or equal to10 km in thickness within 110 km of the trench. For 10-km-thick forearc crust the rate of slope retreat implies an average rate of subduction erosion of forearc crust of 31-47 km(3) km(-1) Myr(-1). At the present convergence rate of 74 km Myr(-1) this erosion rate requires a 420635 m thick layer of subducting material derived from the forearc crust. A time-integrated estimate of the potential volume of forearc-derived trench fill sediments subducted since 15 Ma implies that frontal erosion can only account for &lt;40% of total subduction erosion. Therefore basal erosion must significantly exceed frontal erosion. The new data also provide insights concerning forearc strain regime and forearc basin evolution in the area studied. Extensional faulting near the trench slope break is probably caused by gravitational instability of the steep lower forearc slope. A lack of extensional strain indicators in the upper forearc and arc may be a consequence of the fact that the east Scotia Sea is a mature back arc basin contributing significant ridge push'' in the vicinity of the arc. The data reveal no evidence of arc-parallel extension or of large serpentinite seamounts, as found in the Mariana forearc, and a causal link between these two observations is proposed. Seismic profiles across the forearc basin suggest that the balance between sediment accumulation and erosion is sensitive to changes in the elevation of the trench slope break. It is hypothesized that the basin is a dynamic feature which goes through repeated cycles of growth and destruction controlled by cyclic uplift and collapse of the trench slope break.</t>
  </si>
  <si>
    <t>Vanneste, LE (corresponding author), British Antarctic Survey, High Cross,Madingley Rd, Cambridge CB3 0ET, England.</t>
  </si>
  <si>
    <t>l.vannes-te@bas.ac.uk; r.larter@bas.ac.uk</t>
  </si>
  <si>
    <t>Larter, Robert/0000-0002-8414-7389</t>
  </si>
  <si>
    <t>B7</t>
  </si>
  <si>
    <t>10.1029/2001JB000396</t>
  </si>
  <si>
    <t>610ZL</t>
  </si>
  <si>
    <t>WOS:000178991900002</t>
  </si>
  <si>
    <t>Meredith, NP; Horne, RB; Iles, RHA; Thorne, RM; Heynderickx, D; Anderson, RR</t>
  </si>
  <si>
    <t>Outer zone relativistic electron acceleration associated with substorm-enhanced whistler mode chorus</t>
  </si>
  <si>
    <t>whistler mode chorus; electron acceleration; relativistic electrons; outer radiation belt; substorms</t>
  </si>
  <si>
    <t>MAGNETIC STORMS; RADIATION BELT; SOLAR-WIND; GEOMAGNETIC STORMS; MAGNETOSPHERE; CRRES; DIFFUSION; FLUXES</t>
  </si>
  <si>
    <t>[1] We present plasma wave and particle data from the CRRES satellite during three case studies to investigate the viability of a local stochastic electron acceleration mechanism to relativistic energies driven by resonant interactions with whistler mode chorus. We first consider a strong geomagnetic storm that contains prolonged substorm activity during its 3-day recovery phase. The recovery phase is characterized by electron injections at subrelativistic energies, enhanced whistler mode chorus amplitudes, and a gradual increase in the flux of relativistic electrons (E &gt; 1 MeV) over the entire outer zone, with fluxes exceeding the prestorm level by an order of magnitude in the region 3.5 &lt; L &lt; 4.5. We next consider a strong geomagnetic storm that contains very little substorm activity during its 3-day recovery phase. Here the recovery phase is characterized by a lack of sustained electron injections at subrelativistic energies, a low level of chorus amplitudes, and a net reduction in the flux of relativistic electrons in the outer zone. Finally, we examine a period of prolonged substorm activity in the absence of a significant storm signature, as measured by Dst. This period is characterized by electron injections at subrelativistic energies, enhanced chorus amplitudes, and a gradual increase in the flux of relativistic electrons in the region 4 &lt; L &lt; 6.5. These results suggest that the gradual acceleration of electrons to relativistic energies seen on a timescale of days during geomagnetic storms can be effective only when there are periods of prolonged substorm activity following the main phase of the geomagnetic storm. Furthermore, gradual electron acceleration to relativistic energies can be obtained during periods of prolonged substorm activity in the absence of a significant storm signature as indicated by Dst. The case studies show that the acceleration mechanism is confined to the region outside of the plasmapause and occurs in the presence of enhanced chorus waves. These results suggest that a local acceleration mechanism involving the energization of a seed population of electrons with energies of the order of a few hundred keV to relativistic energies by wave-particle interactions involving whistler mode chorus contributes to the reformation of the relativistic outer zone population following prolonged substorm activity.</t>
  </si>
  <si>
    <t>UCL, Mullard Space Sci Lab, Dorking RH5 6NT, Surrey, England; British Antarctic Survey, NERC, Cambridge CB3 0ET, England; Univ Calif Los Angeles, Dept Atmospher Sci, Los Angeles, CA 90095 USA; Belgium Inst Space Aeron, B-1180 Brussels, Belgium; Univ Iowa, Dept Phys &amp; Astron, Iowa City, IA 52242 USA</t>
  </si>
  <si>
    <t>University of London; University College London; UK Research &amp; Innovation (UKRI); Natural Environment Research Council (NERC); NERC British Antarctic Survey; University of California System; University of California Los Angeles; University of Iowa</t>
  </si>
  <si>
    <t>UCL, Mullard Space Sci Lab, Holmbury St Mary, Dorking RH5 6NT, Surrey, England.</t>
  </si>
  <si>
    <t>npm@mssl.ucl.ac.uk; r.horne@bas.ac.uk; rhi@mssl.ucl.ac.uk; rmt@atmos.ucla.edu; D.Heynderickx@oma.be; roger-r-anderson@uiowa.edu</t>
  </si>
  <si>
    <t>A7</t>
  </si>
  <si>
    <t>10.1029/2001JA900146</t>
  </si>
  <si>
    <t>610VQ</t>
  </si>
  <si>
    <t>WOS:000178982500005</t>
  </si>
  <si>
    <t>Rodger, CJ; Clilverd, MA; Dowden, RL</t>
  </si>
  <si>
    <t>D region reflection height modification by whistler-induced electron precipitation -: art. no. 1145</t>
  </si>
  <si>
    <t>induced electron-precipitation; nighttime D region; ionospheric disturbances; ionization; global change; reflection height</t>
  </si>
  <si>
    <t>IONOSPHERIC PARAMETERS; VLF PROPAGATION; PERTURBATIONS; IONIZATION; SATELLITE; AMPLITUDE; SIGNALS; PHASE; SCATTERING; RELAXATION</t>
  </si>
  <si>
    <t>[1] We examine the electron density profile expected in the lower ionosphere due to a 0.2-s whistler-induced electron precipitation (WEP) burst with experimentally determined properties. The ionization rate in the lower ionosphere due to a single such WEP event has a height variation with a rather broad maximum, leading to additional electron densities of similar to5 electrons cm(-3) stretching over altitudes of similar to75-92 km. For ambient nighttime conditions a single WEP burst with these parameters will lead to a significant electron density changes only for altitudes below similar to85 km. We go on to consider the cumulative response of the nighttime D region to a sustained series of WEP bursts observed through Trimpi perturbation activity on one night in the Antarctic. For altitudes &gt;70 km, significant long-term changes in electron densities due to WEP bursts can occur. The additional WEP-produced ionization leads to increases in the high-altitude electron densities, until a new equilibrium level is reached. Peak changes in electron density are similar to16 times ambient at 85 km and similar to7 times ambient at 90 km, occurring in the similar to15-min period during which the WEP rate is at its peak (similar to4.5 per min). The simulation suggests that electron density levels settle'' into an new quasi-equilibrium state during the similar to3-hour period where the ionization at 85-km altitude is 10-12 times ambient due to WEP bursts occur at similar to3 min(-1). The ionization changes produced by WEP bursts lead to lower reflection heights for VLF and LF radio waves (in the Earth-ionosphere waveguide). While significant short-term changes in reflection heights are likely, realistic long-term changes in WEP occurrence rates do not appear likely to be able to explain the reported similar to2 km decrease in LF reflection heights observed during the last 35 years.</t>
  </si>
  <si>
    <t>Low Frequency Electromagnet Res Ltd, Dunedin, New Zealand; British Antarctic Survey, Div Phys Sci, Cambridge CB3 0ET, England; Univ Otago, Dept Phys, Dunedin, New Zealand</t>
  </si>
  <si>
    <t>UK Research &amp; Innovation (UKRI); Natural Environment Research Council (NERC); NERC British Antarctic Survey; University of Otago</t>
  </si>
  <si>
    <t>Low Frequency Electromagnet Res Ltd, 161 Pine Hill Rd, Dunedin, New Zealand.</t>
  </si>
  <si>
    <t>crodger@physics.otago.ac.nz; M.Clilverd@bas.ac.uk; dowden@physics.otago.ac.nz</t>
  </si>
  <si>
    <t>10.1029/2001JA000311</t>
  </si>
  <si>
    <t>WOS:000178982500007</t>
  </si>
  <si>
    <t>Budillon, G; Gremes-Cordero, S; Salusti, E</t>
  </si>
  <si>
    <t>On the dense water spreading off the Ross Sea shelf (Southern Ocean)</t>
  </si>
  <si>
    <t>dense water dynamics; bottom particulate; Ross Sea</t>
  </si>
  <si>
    <t>TURBIDITY CURRENTS; TURBULENT ENTRAINMENT; VERTICAL STRUCTURE; MODELS</t>
  </si>
  <si>
    <t>In this study, current meter and hydrological data obtained during the X Italian Expedition in the Ross Sea (CLIMA Project) are analyzed. Our data show a nice agreement with previous data referring to the water masses present in this area and their dynamics. Here, they are used to further analyze the mixing and deepening processes of Deep Ice Shelf Water (DISW) over the northern shelf break of the Ross Sea. In more detail, our work is focused on the elementary mechanisms that are the most efficient in removing dense water from the shelf. either classical mixing effects or density currents that interact with some topographic irregularity in order to drop to deeper levels, or also the variability of the Antarctic Circumpolar Current (ACC) which, in its meandering, can push the dense water off the shelf, thus interrupting its geostrophic flow. We also discuss in detail the (partial) evidence of dramatic interactions of the dense water with bottom particulate, of geological or biological origin, thus generating impulsive or quasi-steady density-turbidity currents. This complex interaction allows one to consider bottom particular and dense water as a unique self-interacting system. In synthesis, this is a first tentative analysis of the effect of bottom particulate on the dense water dynamics in the Ross Sea. (C) 2002 Elsevier Science B.V. All rights reserved.</t>
  </si>
  <si>
    <t>Univ Roma La Sapienza, Dipartimento Fis, Ist Nazl Fis Nucl, I-00185 Rome, Italy; Univ Napoli Parthenope, Ist Metereol &amp; Oceanog, I-80133 Naples, Italy</t>
  </si>
  <si>
    <t>Istituto Nazionale di Fisica Nucleare (INFN); Sapienza University Rome; Parthenope University Naples</t>
  </si>
  <si>
    <t>Univ Roma La Sapienza, Dipartimento Fis, Ist Nazl Fis Nucl, Piazzale Aldo Moro 2, I-00185 Rome, Italy.</t>
  </si>
  <si>
    <t>ettore.salusti@roma1.infn.it</t>
  </si>
  <si>
    <t>Gremes-Cordero, Silvia/J-2684-2013</t>
  </si>
  <si>
    <t>Gremes-Cordero, Silvia/0000-0003-1643-9619</t>
  </si>
  <si>
    <t>JUL 1</t>
  </si>
  <si>
    <t>PII S0924-7963(02)00082-9</t>
  </si>
  <si>
    <t>10.1016/S0924-7963(02)00082-9</t>
  </si>
  <si>
    <t>576RR</t>
  </si>
  <si>
    <t>WOS:000177019300005</t>
  </si>
  <si>
    <t>Nichols, DS; Davies, NW</t>
  </si>
  <si>
    <t>Improved detection of polyunsaturated fatty acids as phenacyl esters using liquid chromatography-ion trap mass spectrometry</t>
  </si>
  <si>
    <t>JOURNAL OF MICROBIOLOGICAL METHODS</t>
  </si>
  <si>
    <t>fatty acid; mass spectrometry; APCl; LC-MS; phenacyl; 2-oxo-phenylethyl ester; Shewanella</t>
  </si>
  <si>
    <t>SHEWANELLA; DERIVATIVES; BACTERIA; HYDROXY; NOV.</t>
  </si>
  <si>
    <t>The fatty acid composition of Shewanella pealeana was determined by the analysis of fatty acid methyl esters via gas chromatography-mass spectrometry (GC-MS) and fatty acid 2-oxo-phenylethyl esters via high-performance liquid chromatography-mass spectrometry (LC-MS) combined with ultra violet (UV) detection. There was good agreement between the percentage composition of components determined by GC-MS and LC-UV analyses. However, LC-MS analysis using Atmospheric Pressure Chemical Ionization (APCI) demonstrated dramatically enhanced detection of unsaturated fatty acid 2-oxo-phenylethyl esters. The degree of enhancement was proportional to the degree of unsaturation, Tests with a pure polyunsaturated fatty acid (PUFA) standard gave an absolute detection limit in full scan mode of 200 pg. In samples. the selectivity of MS over UV gave a significantly lower detection limit due to lack of chemical interferences. In 'Selected Reaction Monitoring' (SRM) mode, the detection limit was 5 pg. This was essentially independent of whether the sample is a standard or complex mixture of fatty acids, Tandem mass spectrometry was used to support structural information and to enhance the ability to target specific fatty acids. Several PUFAs which were not evident from GC-MS analysis were detected and identified by APCI LC-MS, including some rare or novel PUFAs from S. pealeana and a menhaden oil standard. Detailed analysis of bacterial fatty acid composition by either GC-MS or APCI LC-MS is highly preferable to analysis systems based solely on retention time identification. (C) 2002 Elsevier Science B.V. All rights reserved.</t>
  </si>
  <si>
    <t>Univ Tasmania, Sch Agr Sci, Hobart, Tas 7001, Australia; Univ Tasmania, Antarctic CRC, Hobart, Tas 7001, Australia; Univ Tasmania, Cent Sci Lab, Hobart, Tas 7001, Australia</t>
  </si>
  <si>
    <t>Nichols, DS (corresponding author), Univ Tasmania, Sch Agr Sci, GPO Box 252-54, Hobart, Tas 7001, Australia.</t>
  </si>
  <si>
    <t>Davies, Noel/J-7714-2014</t>
  </si>
  <si>
    <t>Davies, Noel/0000-0002-9624-0935; Nichols, David/0000-0002-8066-3132</t>
  </si>
  <si>
    <t>0167-7012</t>
  </si>
  <si>
    <t>J MICROBIOL METH</t>
  </si>
  <si>
    <t>J. Microbiol. Methods</t>
  </si>
  <si>
    <t>PII S0167-7012(02)00030-1</t>
  </si>
  <si>
    <t>10.1016/S0167-7012(02)00030-1</t>
  </si>
  <si>
    <t>Biochemical Research Methods; Microbiology</t>
  </si>
  <si>
    <t>556TH</t>
  </si>
  <si>
    <t>WOS:000175864700001</t>
  </si>
  <si>
    <t>Coffin, MF; Pringle, MS; Duncan, RA; Gladczenko, TP; Storey, M; Müller, RD; Gahagan, LA</t>
  </si>
  <si>
    <t>Kerguelen hotspot magma output since 130 Ma</t>
  </si>
  <si>
    <t>hotspot; mantle plume; large igneous province; flood basalt; Kerguelen Plateau</t>
  </si>
  <si>
    <t>SOUTHERN INDIAN-OCEAN; LARGE IGNEOUS PROVINCES; FLOOD BASALTS; MANTLE PLUMES; 40AR/39AR GEOCHRONOLOGY; NINETYEAST RIDGE; DEEP-STRUCTURE; GEOCHEMICAL CHARACTERISTICS; LITHOSPHERIC MANTLE; NATURALISTE PLATEAU</t>
  </si>
  <si>
    <t>The Kerguelen hotspot (Indian Ocean) has produced basalt for similar to130 Myr, among the longest known volcanic records from a single source. New and published 40Ar/39Ar age determinations from the Kerguelen Plateau, Broken Ridge, Rajmahal Traps, and Bunbury basalts, and of Indian and Antarctic dikes help to document the hotspot's history. Using radiometric dates and crustal structure determined from geophysical data and drilling results, we calculate the magmatic output of the Kerguelen hotspot through time. Output rates have varied in ways not predicted by current geodynamic models; maximum eruption volumes postdate the initial surface manifestation of the hotspot as well as break-up between Antarctica and India by greater than or equal to15 Myr, and magma output rates were high, as well as geographically diverse, over an interval of 25 Myr, from similar to120 to similar to95 Ma. We propose two alternatives to the standard mantle plume paradigm, one involving multiple plume sources, and another consisting of a single, but dismembered plume source.</t>
  </si>
  <si>
    <t>Univ Tokyo, Ocean Res Inst, Nakano Ku, Tokyo 1648639, Japan; Japan Marine Sci &amp; Technol Ctr, Inst Frontier Res Earth Evolut, Yokosuka, Kanagawa 2370061, Japan; Univ Texas, Inst Geophys, Jackson Sch Geosci, Austin, TX 78759 USA; Scottish Univ Environm Res Ctr, E Kilbride G75 0QF, Lanark, Scotland; Oregon State Univ, Coll Ocean &amp; Atmospher Sci, Corvallis, OR 97331 USA; Dynam Graph Inc, Alameda, CA 94501 USA; Danish Lithosphere Ctr, DK-1350 Copenhagen, Denmark; Univ Sydney, Sch Geosci, Div Geol &amp; Geophys, Sydney, NSW 2006, Australia</t>
  </si>
  <si>
    <t>University of Tokyo; Japan Agency for Marine-Earth Science &amp; Technology (JAMSTEC); University of Texas System; University of Texas Austin; Scottish Universities Research &amp; Reactor Center; Oregon State University; University of Sydney</t>
  </si>
  <si>
    <t>Univ Tokyo, Ocean Res Inst, Nakano Ku, 1-15-1 Minamidai, Tokyo 1648639, Japan.</t>
  </si>
  <si>
    <t>mcoffin@ori.u-tokyo.ac.jp</t>
  </si>
  <si>
    <t>Coffin, Millard F/H-4619-2011; Pringle, Malcolm/ABD-5663-2020; Müller, Dietmar/L-1200-2019; Duncan, Robert A/A-2168-2013</t>
  </si>
  <si>
    <t>Coffin, Millard F/0000-0001-9960-0038; Müller, Dietmar/0000-0002-3334-5764; Storey, Michael/0000-0002-3126-4637</t>
  </si>
  <si>
    <t>10.1093/petrology/43.7.1121</t>
  </si>
  <si>
    <t>572RT</t>
  </si>
  <si>
    <t>WOS:000176789300003</t>
  </si>
  <si>
    <t>Mahoney, JJ; Graham, DW; Christie, DM; Johnson, KTM; Hall, LS; Vonderhaar, DL</t>
  </si>
  <si>
    <t>Between a hotspot and a cold spot:: Isotopic variation in the Southeast Indian Ridge asthenosphere, 86°E-118°E</t>
  </si>
  <si>
    <t>Southeast Indian ridge; isotopes and trace elements; mantle geochemistry; Indian Ocean hotspots</t>
  </si>
  <si>
    <t>EAST PACIFIC RISE; KERGUELEN PLATEAU; TRIPLE JUNCTION; GEOCHEMICAL CHARACTERISTICS; MANTLE HETEROGENEITY; CONTINENTAL-CRUST; BROKEN RIDGE; OCEAN; BASALTS; HELIUM</t>
  </si>
  <si>
    <t>Glasses from a 2600 km section of the Southeast Indian Ridge west of the Australian-Antarctic Discordance all possess Nd-Pb-Sr isotopic signatures typical of Indian Ocean ridge basalt. The boundary between Pacific- and Indian-Ocean-type ridge basalt within the Discordance thus marks the westernmost extent of shallow Pacific-type asthenosphere beneath the ridge. Along-axis He, Nd, Pb, and Sr isotopic patterns are largely independent of ridge segmentation, but a weak tendency is evident for the most strongly Indian-Ocean-type mantle to be relatively fusible and for shallower asthenosphere to have lower He-3/He-4. On average, epsilon(Nd) appears slightly lower than for ridges in the western Indian Ocean far from hotspots. Importantly, the regional isotopic patterns cannot be explained by a previously proposed eastward flow of Kerguelen-Heard or Amsterdam-St. Paul hotspot mantle. Nd, Pb and (to a much lesser extent) Sr isotopes correlate roughly with many incompatible element ratios, including parent-daughter ratios. If interpreted as mantle errorchrons, the latter correlations imply 'ages' of 200-300 Ma, significantly greater than the oldest known age of the Kerguelen-Heard hotspot (119-135 Ma) commonly postulated to have played an important role in creating the isotopic signature of Indian Ocean mantle. Rather than reflecting relatively recent mixing involving mantle from hotspots in the region, much of the observed isotopic heterogeneity may be the result of other mixing or of past intra-mantle chemical fractionation, probably associated with melting.</t>
  </si>
  <si>
    <t>Bernice P Bishop Museum, Honolulu, HI 96817 USA</t>
  </si>
  <si>
    <t>Univ Hawaii, Sch Ocean &amp; Earth Sci &amp; Technol, Coll Ocean &amp; Atmospher Sci, Honolulu, HI 96822 USA.</t>
  </si>
  <si>
    <t>jmahoney@soest.hawaii.edu</t>
  </si>
  <si>
    <t>Graham, David/C-3612-2014</t>
  </si>
  <si>
    <t>Graham, David/0000-0002-7411-1905; Johnson, Kevin/0000-0002-5868-4973</t>
  </si>
  <si>
    <t>10.1093/petrology/43.7.1155</t>
  </si>
  <si>
    <t>WOS:000176789300005</t>
  </si>
  <si>
    <t>Ingle, S; Weis, D; Frey, FA</t>
  </si>
  <si>
    <t>Indian continental crust recovered from Elan Bank, Kerguelen Plateau (ODP Leg 183, Site 1137)</t>
  </si>
  <si>
    <t>geochemistry; Indian Ocean; Kerguelen Plateau; large igneous provinces; Ocean Drilling Program</t>
  </si>
  <si>
    <t>EASTERN GHATS BELT; U-PB; GEOCHEMICAL CHARACTERISTICS; LITHOSPHERIC MANTLE; YILGARN CRATON; FLOOD BASALTS; BROKEN RIDGE; SM-ND; EVOLUTION; OCEAN</t>
  </si>
  <si>
    <t>At Site 1137 on Elan Bank of the Kerguelen Plateau, a large igneous province in the southern Indian Ocean, a fluvial, volcaniclastic, polymict conglomerate and a fluvial sandstone are intercalated with subaerially erupted tholeiitic basalt flows. Clasts recovered from the conglomerate have highly variable lithologies, including alkali basalt, rhyolite, trachyte, granitoid and gneiss. Major and trace element abundances and whole-rock isotopic data for the sandstones, the conglomerate matrix and representative clasts from the conglomerate are used to infer the origin of these diverse rock types. The gneiss clasts show an affinity to crustal rocks from India, particularly those of the Eastern Ghats Belt and its possible East Antarctic corollary, the Rayner Complex. The felsic volcanic clasts are not genetically related to the intercalated basalt flows, despite being erupted contemporaneously with these basaltic magmas. These felsic volcanic clasts probably formed from partial melting of evolved upper continental crust. The granitoid also probably formed by partial melting of continental crust and could be an intrusive equivalent of the felsic volcanic rocks. In contrast, the alkali basalt clasts have isotopic compositions that are more similar to those of the tholeiitic basalt flows recovered at Site 1137; however, these clasts are highly alkalic (tephrite to phonotephrite) and have a distinct petrogenesis from the tholeiitic basalt flow units.</t>
  </si>
  <si>
    <t>Free Univ Brussels, Dept Sci Terre &amp; Environm, Fac Sci, B-1050 Brussels, Belgium; MIT, Dept Marine Earth &amp; Atmospher Sci, Cambridge, MA 02139 USA</t>
  </si>
  <si>
    <t>Universite Libre de Bruxelles; Massachusetts Institute of Technology (MIT)</t>
  </si>
  <si>
    <t>Ingle, S (corresponding author), Free Univ Brussels, Dept Sci Terre &amp; Environm, Fac Sci, CP 160-02,Ave FD Roosevelt,50, B-1050 Brussels, Belgium.</t>
  </si>
  <si>
    <t>Weis, Dominique A/Q-7658-2016</t>
  </si>
  <si>
    <t>Weis, Dominique A/0000-0002-6638-5543; Frey, Frederick/0000-0002-5403-5677</t>
  </si>
  <si>
    <t>10.1093/petrology/43.7.1241</t>
  </si>
  <si>
    <t>WOS:000176789300008</t>
  </si>
  <si>
    <t>Troedson, AL; Riding, JB</t>
  </si>
  <si>
    <t>Upper oligocene to lowermost Miocene strata of King George Island, South Shetland Islands, Antarctica: Stratigraphy, facies analysis, and implications for the glacial history of the Antarctic Peninsula</t>
  </si>
  <si>
    <t>DEBRIS FLOW DEPOSITS; DINOFLAGELLATE CYSTS; PACIFIC MARGIN; WEDDELL SEA; ROSS; ENVIRONMENT; RETREAT; FJORDS</t>
  </si>
  <si>
    <t>The Cape Melville Formation (CMF), exposed on southeastern King George Island, South Shetland Islands, provides rare evidence of extensive earliest Miocene glaciation in the Antarctic Peninsula region. The formation records the presence of regional marine-based grounded ice on the continental shelf. It overlies disconformably the upper Oligocene Destruction Bay Formation, which consists of sandstones recording nonglacial shallow marine conditions. Four units have been identified within the approximately 150 m thickness of the CMF. The basal unit (A) consists of coarse glacigenic debris-flow facies interbedded with glaciomarine mudstone and sandstone. The overlying unit (B) is mainly fine-grained. This succession may represent relatively ice-proximal deposition followed by glacial retreat and/or relative sea-level rise. The upper CMF (units C and D) was deposited in an ice-distal marine environment, with intermittent input of coarse glacigenic debris, mainly from ice rafting. Thin beds of pelagic carbonate ooze within unit C indicate periods of low terrigenous sediment input and high productivity. Lithologically diverse glacigenic gravel clasts (mainly ice-rafted debris) in the CMF had a wide regional source area, suggesting that ice cover was widespread regionally and included calving ice margins. For a small proportion of clasts; the nearest known source is the mountains fringing the southern Weddell Sea. Such clasts were presumably transported north in debris-laden icebergs by a strong, cold Weddell Sea surface current. A temperate glacial setting is tentatively inferred from the CMF. Palynological results confirm and enhance the paleoenvironmental interpretation from the sedimentology, and include the first early Miocene dinoflagellate cyst assemblages recorded on the Antarctic Peninsula. This reappraisal of the glacial record from the CMF provides valuable constraints on the Antarctic cryosphere and regional paleoenvironments in the mid-Cenozoic.</t>
  </si>
  <si>
    <t>British Antarctic Survey, NERC, Cambridge CB3 0ET, England; British Geol Survey, Nat Environm Res Council, Keyworth NG12 5GG, Notts, England</t>
  </si>
  <si>
    <t>Geol Survey New S Wales, POB 536, St Leonards, NSW 2065, Australia.</t>
  </si>
  <si>
    <t>10.1306/110601720510</t>
  </si>
  <si>
    <t>602LB</t>
  </si>
  <si>
    <t>WOS:000178505800007</t>
  </si>
  <si>
    <t>Solman, SA; Menéndez, CG</t>
  </si>
  <si>
    <t>ENSO-related variability of the Southern Hemisphere winter storm track over the eastern Pacific-Atlantic sector</t>
  </si>
  <si>
    <t>EXTRATROPICAL CYCLONE BEHAVIOR; SEA-ICE; UPPER TROPOSPHERE; WAVE-PACKETS; OSCILLATION; FREQUENCY; PRESSURE; TEMPERATURE; REANALYSIS; ANOMALIES</t>
  </si>
  <si>
    <t>The interannual variability associated with the ENSO of winter storm tracks over the region extending from the eastern South Pacific Ocean across South America to the South Atlantic Ocean is described using 39 yr of data from the NCEP reanalysis data base. Tropical sea surface temperature anomalies associated with ENSO induce large-scale atmospheric circulation anomalies over large areas of the Southern Hemisphere. In particular, positive height anomalies dominate the Bellingshausen Sea during warm events, and consistently, a weakening of the eddy activity at low levels is found to the west of the Antarctic Peninsula. During El Nino (EN) the storm track evidences an equatorward shift over the subtropical Pacific Ocean and a slight strengthening in the central Atlantic Ocean. Time-lagged correlation analysis applied to anomalies of the 300-hPa meridional wind at selected base points was used to study the structure and propagation characteristics of the waves. During EN, waves emanating from the Atlantic-Indian Ocean storm tracks tend to propagate preferably along the subpolar branch of the Pacific Ocean storm track near Australia. Over the subtropical Pacific Ocean the wave train propagates along a northern path compared with cold events consistent with an equatorward shift of the axis of maximum baroclinicity. Additionally, large eddy activity at lower levels but weak eddy activity at upper levels were found for that region. During La Nina (LN), wave packets propagate more coherently along the subtropical branch of the storm track over the South Pacific Ocean, attaining larger amplitudes at upper levels and developing over broader latitudes compared to the warm phase. A poleward deflection of subtropical waves and northeastward deflection of subpolar waves are also found for LN. Waves propagating through the Atlantic Ocean storm track evolve from the subtropical branch of the Pacific Ocean storm track for LN winters and from both the subtropical jet and the subpolar latitudes for EN.</t>
  </si>
  <si>
    <t>Univ Buenos Aires, CONICET, Ctr Invest Mar &amp; Atmosfera, Buenos Aires, DF, Argentina; Univ Buenos Aires, Dept Ciencias Atmosfera &amp; Oceanos, Buenos Aires, DF, Argentina</t>
  </si>
  <si>
    <t>Consejo Nacional de Investigaciones Cientificas y Tecnicas (CONICET); University of Buenos Aires; University of Buenos Aires</t>
  </si>
  <si>
    <t>CIMA, Ciudad Univ,Pabellon 2,Piso 2, RA-1428 Buenos Aires, DF, Argentina.</t>
  </si>
  <si>
    <t>solman@at.fcen.uba.ar</t>
  </si>
  <si>
    <t>Solman, Silvina/AAR-4347-2021</t>
  </si>
  <si>
    <t>Menendez, Claudio Guillermo/0000-0002-2779-7123</t>
  </si>
  <si>
    <t>1520-0469</t>
  </si>
  <si>
    <t>10.1175/1520-0469(2002)059&lt;2128:ERVOTS&gt;2.0.CO;2</t>
  </si>
  <si>
    <t>555WR</t>
  </si>
  <si>
    <t>WOS:000175816700006</t>
  </si>
  <si>
    <t>Curry, CH; McCarthy, JS; Darragh, HM; Wake, RA; Todhunter, R; Terris, J</t>
  </si>
  <si>
    <t>Could tourist boots act as vectors for disease transmission in Antarctica?</t>
  </si>
  <si>
    <t>JOURNAL OF TRAVEL MEDICINE</t>
  </si>
  <si>
    <t>VIRUS</t>
  </si>
  <si>
    <t>Background: Over the last decade there has been a rapid increase in the number of visitors landing at wildlife sites on the Antarctic continent, and concern has been raised that tourists may transmit important pathogens to or between wildlife colonies. The aim of this study was to determine if tourist activities pose a potential threat to Antarctic wildlife, or possibly to human populations through carriage of pathogens on boots. Methods: In two trips conducted to Antarctica in the summer season of 2000/2001, swabs were collected from tourist boots: prior to landing, to determine baseline level of bacterial flora on the boots (A isolates); immediately on return to the ship, to quantify the level of contamination (B isolates); and after the boots were washed in seawater to determine the recovery of the organisms after cleaning (C isolates). Swabs were cultured for coliforms, and isolates identified using the API system. Results: Twenty organisms resembling coliforms were isolated from 15 of 72 pairs of boots. Two isolates were recovered from group A, 4 from group B, and 14 from group C. Of these 20 isolates, 11 could be identified using the API identification method. The remaining 9 isolates all produced an unknown but identical profile number. Conclusion: These results indicate that current practices for cleaning the boots of tourists visiting Antarctic wildlife colonies may not be sufficient to prevent the transmission of pathogens, and indicate that further studies are needed to define the best method of disinfection.</t>
  </si>
  <si>
    <t>Fremantle Hosp, Emergency Dept, Fremantle, WA 6160, Australia; Univ Western Australia, Fremantle Hosp, Dept Med, Fremantle, WA, Australia; Univ Western Australia, Fremantle Hosp, Dept Microbiol, Fremantle, WA, Australia; Noosa HOsp, Dept Emergency Med, Noosa, Qld, Australia; St Thomas Hosp, Dept Emergency Med, London SE1 7EH, England</t>
  </si>
  <si>
    <t>University of Western Australia; South Metropolitan Health Service; Fiona Stanley Fremantle Hospitals Group; Fremantle Hospital; South Metropolitan Health Service; Fiona Stanley Fremantle Hospitals Group; Fremantle Hospital; University of Western Australia; South Metropolitan Health Service; Fiona Stanley Fremantle Hospitals Group; Fremantle Hospital; University of Western Australia; Noosa Hospital; Guy's &amp; St Thomas' NHS Foundation Trust</t>
  </si>
  <si>
    <t>Curry, CH (corresponding author), Fremantle Hosp, Emergency Dept, Alma St, Fremantle, WA 6160, Australia.</t>
  </si>
  <si>
    <t>McCarthy, James S/C-1681-2009</t>
  </si>
  <si>
    <t>McCarthy, James/0000-0001-6596-9718</t>
  </si>
  <si>
    <t>B C DECKER INC</t>
  </si>
  <si>
    <t>HAMILTON</t>
  </si>
  <si>
    <t>20 HUGHSON ST SOUTH, PO BOX 620, L C D 1, HAMILTON, ONTARIO L8N 3K7, CANADA</t>
  </si>
  <si>
    <t>1195-1982</t>
  </si>
  <si>
    <t>J TRAVEL MED</t>
  </si>
  <si>
    <t>J. Travel Med.</t>
  </si>
  <si>
    <t>Public, Environmental &amp; Occupational Health; Infectious Diseases; Medicine, General &amp; Internal</t>
  </si>
  <si>
    <t>Public, Environmental &amp; Occupational Health; Infectious Diseases; General &amp; Internal Medicine</t>
  </si>
  <si>
    <t>581JR</t>
  </si>
  <si>
    <t>WOS:000177289100004</t>
  </si>
  <si>
    <t>Meyer, B; Atkinson, A; Stübing, D; Oettl, B; Hagen, W; Bathmann, UV</t>
  </si>
  <si>
    <t>Feeding and energy budgets of Antarctic krill Euphausia superba at the onset of winter -: I.: Furcilia III larvae</t>
  </si>
  <si>
    <t>MARGINAL ICE-ZONE; PROXIMATE COMPOSITION; SOUTHERN-OCEAN; FATTY-ACIDS; GROWTH; SEA; ZOOPLANKTON; LIPIDS; DANA; METABOLISM</t>
  </si>
  <si>
    <t>Physiological condition and feeding behavior of furcilia larvae were investigated in autumn (April 1999) in the southwestern Lazarev Sea prior to the critical overwintering period. Furcilia stage III (FIII) larvae were most abundant, so only these were used for all analyses (dry mass [DM], elemental and biochemical composition, gut content) and experiments (metabolic and ingestion rates, selective feeding behavior). Chlorophyll a (Ch1 a) concentrations in the mixed layer were &lt;0.1 mug L-1. Respiration rates of freshly caught FIII larvae were between 0.4 and 1.2 mul O-2 mg(-1) DM h(-1), similar to larvae fed for 7 d on high food concentrations (4 mug Ch1 a L-1). Excretion rates ranged between 0.01 and 0.02 mug NH4 mg(-1) DM h(-1). Their atomic O:N ratio of 72 indicated that lipids were the main metabolic substrate of FIII larvae in the field. The daily C ration ranged from 0.4% at the lowest food concentration of 3 mug C L-1 to 28% at the highest enriched food concentration of 216 mug C L-1, whereas clearance rates decreased with increasing food concentrations. In natural seawater, 115 ml mg(-1) C h(-1), and in natural seawater enriched with ice biota, 24 ml mg(-1) C h(-1), the clearance rates on specific phytoplankton taxa revealed no significant difference across a food size range of 12-220 mum. The study suggests that during periods of low food supply in the water column, larvae have to exploit ice biota to cover their metabolic demands.</t>
  </si>
  <si>
    <t>Alfred Wegener Inst Polar &amp; Marine Res, D-27570 Bremerhaven, Germany; British Antarctic Survey, Nat Environm Res Council, Cambridge CB3 OET, England; Univ Bremen, D-28334 Bremen, Germany</t>
  </si>
  <si>
    <t>Helmholtz Association; Alfred Wegener Institute, Helmholtz Centre for Polar &amp; Marine Research; UK Research &amp; Innovation (UKRI); Natural Environment Research Council (NERC); NERC British Antarctic Survey; University of Bremen</t>
  </si>
  <si>
    <t>Meyer, B (corresponding author), Alfred Wegener Inst Polar &amp; Marine Res, Handelshafen 12, D-27570 Bremerhaven, Germany.</t>
  </si>
  <si>
    <t>Meyer, Bettina/0000-0001-6804-9896; Hagen, Wilhelm/0000-0002-7462-9931</t>
  </si>
  <si>
    <t>10.4319/lo.2002.47.4.0943</t>
  </si>
  <si>
    <t>575DQ</t>
  </si>
  <si>
    <t>WOS:000176931700003</t>
  </si>
  <si>
    <t>Atkinson, A; Meyer, B; Stübing, D; Hagen, W; Schmidt, K; Bathmann, UV</t>
  </si>
  <si>
    <t>Feeding and energy budgets of Antarctic krill Euphausia superba at the onset of winter -: II.: Juveniles and adults</t>
  </si>
  <si>
    <t>MARGINAL ICE-ZONE; ELEMENTAL COMPOSITION; METABOLIC-ACTIVITY; SOUTH GEORGIA; COPEPOD INTERACTIONS; FOOD WEB; ZOOPLANKTON; RATES; EXCRETION; SEA</t>
  </si>
  <si>
    <t>The overwintering success of Euphausia superba is a key factor that dictates population size, but there is uncertainty over how they cope with the scarcity of pelagic food. Both nonfeeding strategies (reduced metabolism, lipid use, or shrinkage in size) and switching to other foods (carnivory, ice algae, or detritus) have been suggested. We examined these alternatives in the southwest Lazarev Sea in autumn (April 1999), when sea ice was forming and phytoplankton was at winter concentrations. Both juveniles and adults had a very high lipid content (36% and 44% of dry mass, respectively) of which &gt;40% was phospholipid. However, their low O:N ratios suggested that these reserves were not being used. Results from gut contents analysis and large volume incubations agreed that juveniles fed mainly on phytoplankton and adults fed on small (&lt;3 mm) copepods. This dietary difference was supported possibly by elevated concentrations of 20:1 and 22:1 fatty acids in the adults. The feeding methods also confirmed that feeding rates were low compared with those in summer. Even when acclimated to high food concentrations, clearance and ingestion rates were &lt;30% of summer rates. Respiration and ammonium excretion rates of freshly caught krill were 60%-80% of those in summer and declined significantly during 18 d of starvation. These findings suggest both switch feeding and energy conservation strategies, with a trend of reduced and more carnivorous feeding with ontogeny. This points to a compromise strategy for postlarvae, but there are alternative explanations. First, the krill may have reduced their feeding in an autumn transition to a nonfeeding mode, and, second, some of the population may have maintained a high feeding effort whereas the remainder was not feeding.</t>
  </si>
  <si>
    <t>British Antarctic Survey, Nat Environm Res Council, Cambridge CB3 OET, England; Albert Wegener Inst Polar &amp; Marine Res, D-27570 Bremerhaven, Germany; Univ Bremen, D-28334 Bremen, Germany; Inst Baltic Sea Res Warnemunde, D-18119 Rostock, Germany</t>
  </si>
  <si>
    <t>UK Research &amp; Innovation (UKRI); Natural Environment Research Council (NERC); NERC British Antarctic Survey; University of Bremen; Leibniz Institut fur Ostseeforschung Warnemunde</t>
  </si>
  <si>
    <t>British Antarctic Survey, Nat Environm Res Council, High Cross,Madingley Rd, Cambridge CB3 OET, England.</t>
  </si>
  <si>
    <t>a.atkinson@bas.ac.uk</t>
  </si>
  <si>
    <t>Meyer, Bettina/ABB-5311-2020; Atkinson, Angus/HOH-3417-2023</t>
  </si>
  <si>
    <t>10.4319/lo.2002.47.4.0953</t>
  </si>
  <si>
    <t>WOS:000176931700004</t>
  </si>
  <si>
    <t>Lüter, C; Cohen, BL</t>
  </si>
  <si>
    <t>DNA sequence evidence for speciation, paraphyly and a Mesozoic dispersal of cancellothyridid articulate brachiopods</t>
  </si>
  <si>
    <t>MITOCHONDRIAL GENOME; MOLECULAR EVOLUTION; NORTH-ATLANTIC; POPULATIONS; NUCLEAR; PROTOSTOMES; PHYLOGENY; PHORONIDS; LINGULA; NEXUS</t>
  </si>
  <si>
    <t>Because the classification of extant and fossil articulate brachiopods is based largely upon shell characters observable in fossils, it identifies morphotaxa whose biological status can, in practice, best be inferred from estimates of genetic divergence. Allozyme polymorphism and restriction fragment length polymorphism of mitochondrial DNA (mtDNA RFLP) have been used to show that nuclear and mitochondrial genetic divergence between samples of the cancellothyridid brachiopods Terebratulina septentrionalis from Canada and T. retusa from Europe is compatible with biological speciation, but the genetic distances obtained were biased by methodological limitations. Here, we report estimates of divergence in 12S rDNA mitochondrial sequences within and between samples of these brachiopods. The sequence-based genetic distance between these samples (5.98+/-0.07% SE) is at least 10 times greater than within them and, since they also differ in a complex life-history trait, their species status is considered to be securely established. Divergence levels between 12S rDNA genes of three other cancellothyridids, T. unguicula from Alaska, T. crossei from near Japan, and Cancellothyris hedleyi from near Australia are higher than between the two North Atlantic species, and the mean nucleotide distance between all these cancellothyrids is similar to the mean distance between species of Littorina (Mollusca: Gastropoda). Sequences of both 12S and 16S genes from cancellothyridids and other short-looped brachiopod species show neither saturation nor lineage-specific rate differences and, when analysed with different outgroups, either separately or together, yield one unexpected, but well-supported, tree with Alaskan T. unguicula basal and C. hedleyi nested within Terebratulina, i.e. these genera are paraphyletic. A geologically dated divergence between Antarctic and New Zealand species of the short-looped brachiopod Liothyrella is used to calibrate the rate of 12S divergence at ca. 0.1% per million years (MY), and this rate is used to infer that T. septentrionalis and T. retusa have been diverging for ca. 60 MY and that they and T. unguicula have been diverging from their last common ancestor for ca. 100 MY. This indicates a Mesozoic origin for the present-day distribution of cancellothyridids and the basal position of T. unguicula suggests a possible North Pacific centre of origin, with separate Atlantic and Pacific radiations. The inclusion of Cancellothyris within Terebratulina also shows that adult shell characters such as umbo, foramen and symphytium shape, whilst probably indispensible for the practical classification of fossils, are not reliable guides to genealogy.</t>
  </si>
  <si>
    <t>Univ Glasgow, Inst Biomed &amp; Life Sci, Div Mol Genet, Glasgow G11 6NU, Lanark, Scotland</t>
  </si>
  <si>
    <t>Univ Glasgow, Inst Biomed &amp; Life Sci, Div Mol Genet, Pontecorvo Bldg,56 Dumbarton Rd, Glasgow G11 6NU, Lanark, Scotland.</t>
  </si>
  <si>
    <t>b.l.cohen@bio.gla.ac.uk</t>
  </si>
  <si>
    <t>Lueter, Carsten/G-6767-2012; Cohen, Bernard/ABC-3430-2020</t>
  </si>
  <si>
    <t>10.1007/s00227-002-0808-7</t>
  </si>
  <si>
    <t>580MX</t>
  </si>
  <si>
    <t>WOS:000177239300008</t>
  </si>
  <si>
    <t>Schnetzer, A; Steinberg, DK</t>
  </si>
  <si>
    <t>Natural diets of vertically migrating zooplankton in the Sargasso Sea</t>
  </si>
  <si>
    <t>EUPHAUSIID EUPHAUSIA-PACIFICA; SUB-ANTARCTIC COPEPODS; ACARTIA-TONSA DANA; GULF-OF-MEXICO; MARINE SNOW; CALANUS-PACIFICUS; FECAL PELLETS; SOUTHERN-CALIFORNIA; LARVACEAN HOUSES; FEEDING-BEHAVIOR</t>
  </si>
  <si>
    <t>The feeding preferences of three common diel vertically migrating zooplankton were investigated from December 1999 to October 2000 at the U.S. JGOFS Bermuda Atlantic Time-Series Study (BATS) station in the Sargasso Sea. Gut content analysis of the copepods Pleuromamma xiphias (Giesbrecht) and Euchirella messinensis (Claus) and of the euphausiid Thysanopoda aequalis (Hansen) indicated that all three species fed on a wide variety of phytoplankton, zooplankton, and detrital material. Diet changes generally reflected seasonal trends in phytoplankton community structure. However, species-specific feeding preferences and differences in feeding selectivity among the three species were evident, and in general agreement with feeding habits predicted from the analysis of mouthpart morphology. The euphausiid T. aequalis fed equally on more different food types compared to both copepod species. The copepod P. xiphias consumed a diverse assemblage of phytoplankton from late winter through the summer (78-93% of gut items, by number, were phytoplankton) and based its diet more strongly on carnivorous feeding in autumn and early winter (31% and 61% of gut items were phytoplankton, respectively). E. messinensis showed the greatest feeding specialization, with a strong preference for pennate diatoms in winter and spring and for coccolithophorids during late summer and fall (constituting 67-93% of gut items by number). All three species consumed diatoms more than other phytoplankton taxa, even though diatoms form only a small fraction of the phytoplankton biomass in the Sargasso Sea. Although the majority of gut items identified were phytoplankton cells, the relative biomass contribution of these small cells may be lower than that of zooplankton and detritus. Zooplankton on which the three species primarily preyed were protozoans and crustaceans, but also included other metazoans such as chaetognaths and cnidarians. Marine snow was also an important component of the diet in all three species, with typically &gt; 50% and rarely &lt; 20% of the gut content being olive-green debris. Marine snow from larvacean houses was found in the guts of all three species, while E. messinenis appeared to selectively consume marine snow aggregates enriched with bicapitate Nitzschia spp. Large cyanobacteria (&gt;4 mum in diameter) found in guts were also likely consumed with marine snow. The species-specific differences in the diets of these three migrating species suggest that an individual species approach is important in determining how feeding habits affect the structure of pelagic food webs and carbon cycling in the sea. Electronic supplementary material to this paper can be obtained by using the Springer LINK server located at http://dx.doi.org/ 10.1007/s00227-002-0815-8.</t>
  </si>
  <si>
    <t>Bermuda Biol Stn Res Inc, Ferry Reach GE 01, Bermuda</t>
  </si>
  <si>
    <t>Schnetzer, A (corresponding author), Univ So Calif, Dept Biol Sci, 3616 Trousdale Pkwy,AHF 301, Los Angeles, CA 90089 USA.</t>
  </si>
  <si>
    <t>Schnetzer, Astrid/F-2527-2010</t>
  </si>
  <si>
    <t>Schnetzer, Astrid/0000-0003-2063-0635; Steinberg, Deborah K./0000-0001-9884-4655</t>
  </si>
  <si>
    <t>10.1007/s00227-002-0815-8</t>
  </si>
  <si>
    <t>WOS:000177239300010</t>
  </si>
  <si>
    <t>Iken, K; Avila, C; Fontana, A; Gavagnin, M</t>
  </si>
  <si>
    <t>Chemical ecology and origin of defensive compounds in the Antarctic nudibranch Austrodoris kerguelenensis (Opisthobranchia: Gastropoda)</t>
  </si>
  <si>
    <t>DITERPENOIC ACID GLYCERIDES; ICHTHYOTOXIC DIACYLGLYCEROL; BIOCHEMICAL-COMPOSITION; SECONDARY METABOLITES; ENERGY CONTENT; WATER; MOLLUSKS; WEDDELL; PTEROENONE; SPONGES</t>
  </si>
  <si>
    <t>The common Antarctic nudibranch Austrodoris kerguelenensis (Bergh) contains diterpene diacylglycerides only present in its external body parts. These compounds provide a chemical defense against sympatric predators, such as the seastar Odontaster validus Koehler. Bioassays conducted with O. validus revealed that live nudibranchs, mantle tissue and Et2O extract of the A. kerguelenensis mantle deterred feeding by the seastar. Further bioassays testing organic fractions of the Et2O mantle extract showed that the diterpene diacylglycerides, as well as corresponding monoacylglycerides and monoacylglycerides of regular fatty acids, were responsible for the feeding deterrence in O. validus. We suggest that A. kerguelenensis derives the bioactive diacylglycerides by de novo biosynthesis rather than by sequestration from its sponge diet, since the mollusk does not contain active metabolites in the viscera, and neither the active compounds nor precursors were detected in the sponge diet. Furthermore, A. kerguelenensis did not show a strong chemodetection or feeding preference for its main diet, hexactinellid sponges, in Y-maze and food choice experiments, respectively.</t>
  </si>
  <si>
    <t>Alfred Wegener Inst Polar &amp; Marine Res, D-27568 Bremerhaven, Germany; CSIC, Ctr Estudis Avancats Blanes, Blanes 17300, Spain; CNR, Ist Chim Mol Interesse Biol, I-80072 Arco Felice Napoli, Felice, Italy</t>
  </si>
  <si>
    <t>Helmholtz Association; Alfred Wegener Institute, Helmholtz Centre for Polar &amp; Marine Research; Consejo Superior de Investigaciones Cientificas (CSIC); CSIC - Centre d'Estudis Avancats de Blanes (CEAB); Consiglio Nazionale delle Ricerche (CNR)</t>
  </si>
  <si>
    <t>Univ Alaska, Inst Marine Sci, Sch Fisheries &amp; Ocean Sci, Fairbanks, AK 99775 USA.</t>
  </si>
  <si>
    <t>iken@ims.uaf.edu</t>
  </si>
  <si>
    <t>Avila, Conxita/B-9466-2008; Fontana, Angelo/C-3354-2012; Gavagnin, Margherita/B-4584-2012; Fontana, Angelo/AAO-2741-2021</t>
  </si>
  <si>
    <t>Avila, Conxita/0000-0002-5489-8376; Fontana, Angelo/0000-0002-5453-461X</t>
  </si>
  <si>
    <t>10.1007/s00227-002-0816-7</t>
  </si>
  <si>
    <t>WOS:000177239300011</t>
  </si>
  <si>
    <t>Evans, K; Morrice, M; Hindell, M; Thiele, D</t>
  </si>
  <si>
    <t>Three mass strandings of sperm whales (Physeter macrocephalus) in southern Australian waters</t>
  </si>
  <si>
    <t>MARINE MAMMAL SCIENCE</t>
  </si>
  <si>
    <t>Physeter macrocephalus; sperm whale; strandings; mass strandings; Southern Hemisphere; Australia; Southern Ocean</t>
  </si>
  <si>
    <t>One hundred and fifteen sperm whales (97 female, 15 male, 3 unknown sex) were involved in three mass stranding events during the month of February 1998 along the west and northwest coastlines of Tasmania, Australia. Sixty-six of these whales stranded at Ocean Beach, Strahan; 35 at Greens Beach, Marrawah; and 11 at Black River Beach, Stanley. The remaining whales stranded singly along the coastline. Three mass strandings of this species in such close temporal proximity have not been reported in this area before, and this is the first time that data have been comprehensively collected from complete or near-complete groups of sperm whales from Tasmanian waters. Adult females dominated the three stranding groups. Total lengths ranged from 417 to 1,200 cm and ages ranged from 0.75 to 64 yr. Four females were lactating and four fetuses were found amongst the groups. Stomach contents were dominated by pelagic cephalopods.</t>
  </si>
  <si>
    <t>Univ Tasmania, Sch Zool, Antarctic Wildlife Res Unit, Hobart, Tas 7001, Australia; Deakin Univ, Dept Ecol &amp; Environm, Warrnambool, Vic 3280, Australia</t>
  </si>
  <si>
    <t>University of Tasmania; Deakin University</t>
  </si>
  <si>
    <t>Evans, K (corresponding author), Univ Tasmania, Sch Zool, Antarctic Wildlife Res Unit, GPO Box 252-05, Hobart, Tas 7001, Australia.</t>
  </si>
  <si>
    <t>Hindell, Mark A/K-1131-2013; evans, karen/D-7110-2012</t>
  </si>
  <si>
    <t>Hindell, Mark/0000-0002-7823-7185; Morrice, Margie/0000-0001-6903-4565; Evans, Karen/0000-0003-2205-4264</t>
  </si>
  <si>
    <t>SOC MARINE MAMMALOGY</t>
  </si>
  <si>
    <t>1041 NEW HAMPSHIRE ST, LAWRENCE, KS 66044 USA</t>
  </si>
  <si>
    <t>0824-0469</t>
  </si>
  <si>
    <t>MAR MAMMAL SCI</t>
  </si>
  <si>
    <t>Mar. Mamm. Sci.</t>
  </si>
  <si>
    <t>10.1111/j.1748-7692.2002.tb01063.x</t>
  </si>
  <si>
    <t>Marine &amp; Freshwater Biology; Zoology</t>
  </si>
  <si>
    <t>569YF</t>
  </si>
  <si>
    <t>WOS:000176630200003</t>
  </si>
  <si>
    <t>Hooker, SK; Boyd, IL; Jessopp, M; Cox, O; Blackwell, J; Boveng, PL; Bengtson, JL</t>
  </si>
  <si>
    <t>Monitoring the prey-field of marine predators: Combining digital imaging with datalogging tags</t>
  </si>
  <si>
    <t>Antarctic fur seal; Arctocephalus gazella; digital imaging; diving behavior; foraging; time-depth recorder</t>
  </si>
  <si>
    <t>ANTARCTIC FUR SEALS; NORTHERN ELEPHANT SEALS; DIVING BEHAVIOR; INTERANNUAL VARIABILITY; ARCTOCEPHALUS-GAZELLA; FORAGING BEHAVIOR; SOUTH GEORGIA; HABITAT; KRILL; DEPTH</t>
  </si>
  <si>
    <t>There is increasing interest in the diving behavior of marine mammals. However, identifying foraging among recorded dives often requires several assumptions. The simultaneous acquisition of images of the prey encountered, together with records of diving behavior will allow researchers to more fully investigate the nature of subsurface behavior. We tested a novel digital camera linked to a time-depth recorder on Antarctic fur seals (Arctocephalus gazella). During the austral summer 2000-2001, this system was deployed on six lactating female fur seals at Bird Island, South Georgia, each for a single foraging trip. The camera was triggered at depths greater than 10 m. Five deployments recorded still images (640 X 480 pixels) at 3-sec intervals (total 8,288 images), the other recorded movie images at 0.2-sec intervals (total 7,598 frames). Memory limitation (64 MB) restricted sampling to approximately 1.5 d of 5-7 d foraging trips. An average of 8.5% of still pictures (2.4%-11.6%) showed krill (Euphausia superba) distinctly, while at least half the images in each deployment were empty, the remainder containing blurred or indistinct prey, In one deployment krill images were recorded within 2.5 h (16 km, assuming 1.8 m/sec travel speed) of leaving the beach. Five of the six deployments also showed other fur seals foraging in conjunction with the study animal. This system is likely to generate exciting new avenues for interpretation of diving behavior.</t>
  </si>
  <si>
    <t>British Antarctic Survey, Nat Environm Res Council, Cambridge CB3 0ET, England; Wild Insight Ltd, Ely CB7 4HJ, England; Natl Marine Fisheries Serv, Alaska Fisheries Sci Ctr, Natl Marine Mammal Lab, Seattle, WA 98115 USA</t>
  </si>
  <si>
    <t>UK Research &amp; Innovation (UKRI); Natural Environment Research Council (NERC); NERC British Antarctic Survey; National Oceanic Atmospheric Admin (NOAA) - USA</t>
  </si>
  <si>
    <t>Hooker, SK (corresponding author), Univ St Andrews, Sea Mammal Res Unit, Gatty Marine Lab, St Andrews KY16 8LB, Fife, Scotland.</t>
  </si>
  <si>
    <t>Jessopp, Mark/AAI-4786-2020; Hooker, Sascha K/J-3267-2013</t>
  </si>
  <si>
    <t>Jessopp, Mark/0000-0002-2692-3730; Hooker, Sascha/0000-0002-7518-3548</t>
  </si>
  <si>
    <t>10.1111/j.1748-7692.2002.tb01066.x</t>
  </si>
  <si>
    <t>WOS:000176630200006</t>
  </si>
  <si>
    <t>Zielinski, U; Gersonde, R</t>
  </si>
  <si>
    <t>Plio-Pleistocene diatom biostratigraphy from ODP Leg 177, Atlantic sector of the Southern Ocean</t>
  </si>
  <si>
    <t>diatoms; biostratigraphy; Pliocene; Pleistocene; Southern Ocean</t>
  </si>
  <si>
    <t>TO-HIGH LATITUDES; GENUS THALASSIOSIRA; NORTH PACIFIC; QUATERNARY; SEDIMENTS; ICE; NEOGENE; BENEATH</t>
  </si>
  <si>
    <t>Seven sites were drilled during Ocean Drilling Program Leg 177 in the Atlantic sector of the Southern Ocean (SO) on a transect over the Antarctic Circumpolar Current from the Subantarctic to the Antarctic Zone. At four sites sediments were recovered with a Pliocene/Pleistocene sediment package of up to 580 in allowing the refinement of previous diatom zonation concepts. Samples were analyzed on stratigraphic distribution and abundance of diatom species. A refined diatom biozonation tied to the geomagnetic polarity record is proposed. For the middle and late Pleistocene two zonations applicable to the northern and southern area of the SO were constructed, considering different latitudinal distributions of biostratigraphic diatom marker species. The southern zonation for the Pleistocene relies on the occurrence of species of the genus Rouxia, R. leventerae and R. constricta n. sp. as well as on a revised last occurrence datum (LOD) of Actinocyclus ingens (0.38 Ma, late marine isotope stage (MIS) 11). The use of these new stratigraphic marker species refines the temporal resolution for biostratigraphic age assignment to up to 0.1 Myr. In particular the LOD of R. leventerae as an indicator for the MIS 6/5 boundary (Termination II) will improve future dating of carbonate-free Antarctic sediments. These new data were obtained from sediments of Sites 1093 and 1094 (Antarctic Zone). The northern zonation for the middle and late Pleistocene time interval is based on the Pleistocene abundance pattern of Hemidiscus karstenii which was already proposed by previous investigations (e.g. Gersonde and Barcena, 1998). One new species (R. constricta) and two new combinations (Fragilariopsis clementia, Fragilariopsis reinholdii) are proposed in this study. (C) 2002 Elsevier Science B.V. All rights reserved.</t>
  </si>
  <si>
    <t>zielinski@gugu.usal.es; rgersonde@awi-bremerhaven.de</t>
  </si>
  <si>
    <t>PII S0377-8398(02)00031-2</t>
  </si>
  <si>
    <t>10.1016/S0377-8398(02)00031-2</t>
  </si>
  <si>
    <t>590KE</t>
  </si>
  <si>
    <t>WOS:000177821400002</t>
  </si>
  <si>
    <t>Censarek, B; Gersonde, R</t>
  </si>
  <si>
    <t>Miocene diatom biostratigraphy at ODP Sites 689, 690, 1088, 1092 (Atlantic sector of the Southern Ocean)</t>
  </si>
  <si>
    <t>Southern Ocean; biostratigraphy; diatom; Miocene</t>
  </si>
  <si>
    <t>MIDDLE MIOCENE; FOSSIL DIATOM; GENUS; THALASSIOSIRA; STELLARIMA; SEDIMENTS; NEOGENE</t>
  </si>
  <si>
    <t>Four ODP sites located between 64degreesS and 41degreesS in the eastern Atlantic sector of the Southern Ocean were investigated to refine the Miocene diatom biostratigraphic zonation tied to the geomagnetic chronology. The Miocene diatom stratigraphy from two sites located on Maud Rise (ODP Leg 113) is revised considering the progress in diatom biostratigraphic research, diatom taxonomy and magnetostratigraphic age assignment during the past 10 years. A new diatom zonation was erected for Site 1092 (ODP Leg 177) located on Meteor Rise integrating a magneto stratigraphic interpretation of the shipboard data. This zonation was also applied to Site 1088 (ODP Leg 177) located on Astrid Ridge. The study is focused to Middle and Upper Miocene sequences. It reveals latitudinal differentiations in stratigraphic species ranges and species occurrence pattern that are related to latitudinal differences in surface water masses reflecting the climatic development of the Antarctic cryosphere. Considering the latitudinal differences two stratigraphic zonations are proposed that are applicable to the northern and southern zone of the Southern Ocean, respectively. The southern Southern Ocean Miocene diatom biostratigraphic zonation consists of 16 zones in which I I represent new or modified zones. The northern biostratigraphic zonation contains 10 diatom zones allowing a stratigraphic resolution in the range of 0.2-2 Myr. This paper also includes the taxonomic transfer of seven Miocene diatom taxa from genus Nitzschia Hassal to Fragilariopsis Hustedt. (C) 2002 Elsevier Science B.V. All rights reserved.</t>
  </si>
  <si>
    <t>Alfred Wegener Inst Polar &amp; Marine Res, Columbusstr, D-27515 Bremerhaven, Germany.</t>
  </si>
  <si>
    <t>bcensarek@awi-bremerhaven.de; rgersonde@awi-bremerhaven.de</t>
  </si>
  <si>
    <t>PII S0377-8398(02)00034-8</t>
  </si>
  <si>
    <t>10.1016/S0377-8398(02)00034-8</t>
  </si>
  <si>
    <t>WOS:000177821400005</t>
  </si>
  <si>
    <t>Galeotti, S; Coccioni, R; Gersonde, R</t>
  </si>
  <si>
    <t>Middle Eocene-Early Pliocene Subantarctic planktic foraminiferal biostratigraphy of Site 1090, Agulhas Ridge</t>
  </si>
  <si>
    <t>Southern Ocean; biostratigraphy; planktic formanifera; Cenozoic</t>
  </si>
  <si>
    <t>HIGH-LATITUDE; MIDLATITUDE</t>
  </si>
  <si>
    <t>The analysis of planktic foraminiferal assemblages from Site 1090 (ODP Leg 177), located in the central part of the Subantarctic Zone south of South Africa, provided a geochronology of a 330-m-thick sequence spanning the Middle Eocene to Early Pliocene. A sequence of discrete bioevents enables the calibration of the Antarctic Paleogene (AP) Zonation with lower latitude biozonal schemes for the Middle-Late Eocene interval. In spite of the poor recovery of planktic foraminiferal assemblages, a correlation with the lower latitude standard planktic foraminiferal zonations has been attempted for the whole surveyed interval. Identified bioevents have been tentatively calibrated to the geomagnetic polarity time scale following the biochronology of Berggren et al. (1995). Besides planktic foraminiferal bioevents, the disappearance of the benthic foraminifera Nuttallides truempyi has been used to approximate the Middle/Late Eocene boundary. A hiatus of at least 11.7 Myr occurs between similar to78 and similar to71 in composite depth extending from the Early Miocene to the latest Miocene-Early Pliocene. Middle Eocene assemblages exhibit a temperate affinity, while the loss of several planktic foraminiferal species by late Middle to early Late Eocene time reflects cooling. During the Late Eocene-Oligocene intense dissolution caused impoverishment of planktic foraminiferal assemblages possibly following the emplacement of cold, corrosive bottom waters. Two warming peaks are, however, observed: the late Middle Eocene is marked by the invasion of the warmer water Acarinina spinuloinflata and Hantkenina alabamensis at 40.5 Ma, while the middle Late Eocene experienced the immigration of some globigerinathekids including Globigerinatheka luterbacheri and Globigerinatheka cf. semiinvoluta at 34.3 Ma. A more continuous record is observed for the Early Miocene and the Late Miocene-Early Pliocene where planktic foraminiferal assemblages show a distinct affinity with southern mid- to high-latitude faunas. (C) 2002 Elsevier Science B.V. All rights reserved.</t>
  </si>
  <si>
    <t>Univ Urbino, Ist Geol, I-61029 Urbino, Italy; Univ Urbino, Ctr Palinol, I-61029 Urbino, Italy; Alfred Wegener Inst Polar &amp; Marine Res, D-27568 Bremerhaven, Germany</t>
  </si>
  <si>
    <t>University of Urbino; University of Urbino; Helmholtz Association; Alfred Wegener Institute, Helmholtz Centre for Polar &amp; Marine Research</t>
  </si>
  <si>
    <t>Galeotti, S (corresponding author), Univ Urbino, Ist Geol, I-61029 Urbino, Italy.</t>
  </si>
  <si>
    <t>COCCIONI, Rodolfo/0000-0003-2333-4030; Galeotti, Simone/0000-0001-9636-9344</t>
  </si>
  <si>
    <t>PII S0377-8398(02)00035-X</t>
  </si>
  <si>
    <t>10.1016/S0377-8398(02)00035-X</t>
  </si>
  <si>
    <t>WOS:000177821400006</t>
  </si>
  <si>
    <t>Marino, M; Flores, JA</t>
  </si>
  <si>
    <t>Middle Eocene to early Oligocene calcareous nannofossil stratigraphy at Leg 177 Site 1090</t>
  </si>
  <si>
    <t>Southern Ocean; Eocene; Oligocene; calcareous nannofossils; biostratigraphy</t>
  </si>
  <si>
    <t>ATLANTIC; MAGNETOBIOCHRONOLOGY; BOUNDARY; MAGNETOSTRATIGRAPHY; NANNOPLANKTON; SECTIONS</t>
  </si>
  <si>
    <t>Semi-quantitative and quantitative analyses on nannofossil assemblages were carried out on the middle Eocene to early Oligocene interval of Site 1090 Hole B; several biozones were recognized according to the schemes of Martini (1971), Okada and Bukry (1980) and Wei and Wise (1990a), between the FO of Reticulofenestra reticulata and the LO of Reticulofenestra umbilica. Based on nannofossil biostratigraphy, our proposed interpretation of shipboard magnetic inclination data recognizes magnetic chrons from C12 to C19, according to the geomagnetic polarity time scale of Berggren et al. (1995). The Eocene/Oligocene boundary is placed between the last occurrences of Reticulofenestra oamaruensis and Discoaster saipanensis, within Chron C13r. On the basis of the correlation between magnetostratigraphy and biostratigraphy, a new biochronology is proposed for some nannofossil events. The age of FO of Reticulofenestra circus was estimated at 33.39 Ma; no previous biochronology is available in the literature for this event. An age-depth curve is constructed on the basis of the correlation between nannofossil biostratigraphy and the GPTS of Berggren et al. (1995). A very low value of sedimentation rate (0.5 m/Ma) characterizes the upper part of the study site, from the last occurrence of Ericsonia formosa to the last occurrence of R. umbilica. The presence of a hiatus or a condensed interval may occur at this level. It may be related to the mid-Oligocene Marshall Paraconformity and the inception of the Antarctic Circumpolar Current, which contributed to the modification of the nannoflora composition and sedimentation in this sector of the South Ocean. (C) 2002 Elsevier Science B.V. All rights reserved.</t>
  </si>
  <si>
    <t>Dipartimento Geol &amp; Geofis, I-70125 Bari, Italy; Fac Ciencias, Dept Geol, Salamanca 37088, Spain</t>
  </si>
  <si>
    <t>Dipartimento Geol &amp; Geofis, Via E Orabano 4, I-70125 Bari, Italy.</t>
  </si>
  <si>
    <t>marino@geo.uniba.it</t>
  </si>
  <si>
    <t>Flores, José-Abel/D-4218-2009; Marino, Maria/J-6868-2014</t>
  </si>
  <si>
    <t>Flores, José-Abel/0000-0003-1909-293X; Marino, Maria/0000-0001-6239-0786</t>
  </si>
  <si>
    <t>PII S0377-8398(02)00036-1</t>
  </si>
  <si>
    <t>10.1016/S0377-8398(02)00036-1</t>
  </si>
  <si>
    <t>WOS:000177821400007</t>
  </si>
  <si>
    <t>Hong, GH; Kim, YI; Lee, SH; Cooper, LW; Choe, SM; Tkalin, AV; Lee, T; Kim, SH; Chung, CS; Hirose, K</t>
  </si>
  <si>
    <t>239+240Pu and 137Cs concentrations for zooplankton and nekton in the Northwest Pacific and Antarctic Oceans (1993-1996)</t>
  </si>
  <si>
    <t>Pu239-240; Cs-137; zooplankton; nekton; northwest Pacific Ocean; Bransfield Strait</t>
  </si>
  <si>
    <t>EAST SEA SEA; JAPAN; RADIONUCLIDES; WATER</t>
  </si>
  <si>
    <t>The concentrations of Pu239+240 and Cs-137 in zooplankton and nekton in the Northwest Pacific and Southern Oceans were measured during the period 1993-1996. The object of the sampling was to assess the potential impacts of existing submerged anthropogenic-radioactive materials in the western North Pacific as well as the East China Sea. Samples from the Bransfield Strait of the Antarctic Ocean provided a control source impacted by only atmospheric bomb fallout. No particularly elevated levels of Pu239+240 were found in zooplankton samples from the Northwest Pacific, although significantly lower levels of Pu239+240 were found in three mixed zooplankton samples from the Bransfield Strait. The body burden of Pu239+240 in zooplankton appears to reflect concentrations in ambient seawater with some variation. Some additional Measurements Of Cs-137 in fish are also reported here to complement existing databases and for future reference in the regional marine en,. iron men tal radioactivity monitoring effort. (C) 2002 Elsevier Science Ltd. All rights reserved.</t>
  </si>
  <si>
    <t>Korea Ocean Res &amp; Dev Inst, Seoul 425600, South Korea; Univ Tennessee, Dept Ecol &amp; Evolutionary Biol, Knoxville, TN 37996 USA; Far Eastern Reg Hydrometeorol Res Inst, Vladivostok 6090660, Russia; Pusan Natl Univ, Div Earth Environm Syst Sci, Pusan 609735, South Korea; Meteorol Res Inst, Geochem Res Dept, Tsukuba, Ibaraki 305600, Japan</t>
  </si>
  <si>
    <t>Korea Institute of Ocean Science &amp; Technology (KIOST); University of Tennessee System; University of Tennessee Knoxville; Pusan National University; Meteorological Research Institute - Japan</t>
  </si>
  <si>
    <t>Korea Ocean Res &amp; Dev Inst, Ansan POB 29, Seoul 425600, South Korea.</t>
  </si>
  <si>
    <t>ghhong@kordi.re.kr</t>
  </si>
  <si>
    <t>Cooper, Lee W./E-5251-2012</t>
  </si>
  <si>
    <t>Cooper, Lee W./0000-0001-7734-8388</t>
  </si>
  <si>
    <t>PII S0025-326X(01)00322-8</t>
  </si>
  <si>
    <t>10.1016/S0025-326X(01)00322-8</t>
  </si>
  <si>
    <t>584VE</t>
  </si>
  <si>
    <t>WOS:000177488800022</t>
  </si>
  <si>
    <t>Osawa, T; Nagao, K</t>
  </si>
  <si>
    <t>Noble gas compositions of Antarctic micrometeorites collected at the Dome Fuji Station in 1996 and 1997</t>
  </si>
  <si>
    <t>INTERPLANETARY DUST PARTICLES; DEEP-SEA SEDIMENTS; SOLAR ENERGETIC PARTICLES; EXTRATERRESTRIAL ORIGIN; STRATOSPHERIC PARTICLES; CARBONACEOUS CHONDRITES; OCEAN SEDIMENTS; ACCRETION RATE; NEON ISOTOPES; COSMIC DUST</t>
  </si>
  <si>
    <t>The noble gases He, Ne, Ar, Kr, and Xe were measured in 27 individual Antarctic micrometeorites (AMMs) in the size range 60 to 250 mum that were collected at the Dome Fuji Station. Eleven of the AMMs were collected in 1996 (F96 series) and 16 were collected in 1997 (F97 series). One of the F97 AMMs is a totally melted spherule, whereas all other particles are irregular in shape. Noble gases were extracted using a Nd-YAG continuous wave laser with an output power of 2.5-3.5 W for similar to5 min. Most particles released measurable amounts of noble gases. He-3/He-4 ratios are determined for 26 AMMs ((0.85-9.65) x 10(-4)). Solar energetic particles (SEP) are the dominant source of helium in most AMMs rather than solar wind (SW) and cosmogenic He. Three samples had higher He-3/He-4 ratios compared to that of SW, showing the presence of spallogenic He-3. The Ne isotopic composition of most AMMs resembled that of SEP as in the case of helium. Spallogenic Ne-21 was detected in three samples, two of which had extremely long cosmic-ray exposure ages (&gt;100 Ma), calculated by assuming solar cosmic-ray (SCR) + galactic cosmic-ray (GCR) production. These two particles may have come to Earth directly from the Kuiper Belt. Most AMMs had negligible amounts of cosmogenic Ne-21 and exposure ages of &lt;1 Ma. Ar-40/Ar-36 ratios for all particles (3.9-289) were lower than that of the terrestrial atmosphere (296), indicating an extraterrestrial origin of part of the Ar with a very low Ar-40/Ar-36 ratio plus some atmospheric contamination. Indeed, Ar-40/Ar-36 ratios for the AMMs are higher than SW, SEP, and Q-Ar values, which is explained by the presence of atmospheric Ar-40. The average Ar-38/Ar-36 ratio of 24 AMMs (0.194) is slightly higher than the value of atmospheric or Q-Ar, suggesting the presence of SEP-Ar which has a relatively high Ar-38/Ar-36 ratio. According to the elemental compositions of the heavy noble gases, Dome Fuji AMMs can be classified into three groups: chondritic (eight particles), air-affected (nine particles), and solar-affected (eight particles). The eight AMMs classified as chondritic preserve the heavy noble gas composition of primordial trapped component due to lack of atmospheric adsorption and solar implantation. The average of Xe-129/Xe-132 ratio for the 16 AMMs not affected by atmospheric contamination (1.05) corresponds to the values in matrices of carbonaceous chondrites (∼1.04). One AMM, F96DK038, has high Xe-129/Xe-132 in excess of this ratio. Our results imply that most Dome Fuji AMMs originally had chondritic heavy noble gas compositions, and carbonaceous chondrite-like objects are appropriate candidate sources for most AMMs.</t>
  </si>
  <si>
    <t>Univ Tokyo, Grad Sch Sci, Earthquake Chem Lab, Tokyo 1130033, Japan</t>
  </si>
  <si>
    <t>Osawa, T (corresponding author), Univ Tokyo, Grad Sch Sci, Earthquake Chem Lab, Tokyo 1130033, Japan.</t>
  </si>
  <si>
    <t>10.1111/j.1945-5100.2002.tb00867.x</t>
  </si>
  <si>
    <t>579AA</t>
  </si>
  <si>
    <t>WOS:000177152200003</t>
  </si>
  <si>
    <t>Gounelle, M; Devouard, B; Engrand, C; Genge, MJ; Toppani, A; Leroux, H</t>
  </si>
  <si>
    <t>TEM study of antarctic micrometeorites: A preliminary report.</t>
  </si>
  <si>
    <t>DUST</t>
  </si>
  <si>
    <t>Nat Hist Museum, London SW7 5BD, England; Univ Clermont Ferrand, CNRS, LMV, F-63000 Clermont Ferrand, France; CSNSM, F-91405 Orsay, France; CRPG, CNRS, F-54501 Vandoeuvre Les Nancy, France; Univ Lille, CNRS, LSPES, F-59655 Villeneuve Dascq, France</t>
  </si>
  <si>
    <t>Natural History Museum London; Universite Clermont Auvergne (UCA); Centre National de la Recherche Scientifique (CNRS); Universite Paris Saclay; Universite de Lorraine; Centre National de la Recherche Scientifique (CNRS); Universite de Lille; Centre National de la Recherche Scientifique (CNRS)</t>
  </si>
  <si>
    <t>DEVOUARD, Bertrand/B-4761-2013</t>
  </si>
  <si>
    <t>DEVOUARD, Bertrand/0000-0002-8774-1842</t>
  </si>
  <si>
    <t>A55</t>
  </si>
  <si>
    <t>581CZ</t>
  </si>
  <si>
    <t>WOS:000177274700095</t>
  </si>
  <si>
    <t>Mardon, AA; Mardon, EG</t>
  </si>
  <si>
    <t>The Venerable Bede's observation of the comet of 729 AD</t>
  </si>
  <si>
    <t>Antarctic Inst Canada, Edmonton, AB, Canada</t>
  </si>
  <si>
    <t>mardon@freenet.edmonton.ab.ca</t>
  </si>
  <si>
    <t>1945-5100</t>
  </si>
  <si>
    <t>A93</t>
  </si>
  <si>
    <t>WOS:000177274700169</t>
  </si>
  <si>
    <t>The English text of the eleven comets recorded in the Anglo-Saxon Chronicle.</t>
  </si>
  <si>
    <t>WOS:000177274700168</t>
  </si>
  <si>
    <t>The Bayeux Tapestry and the appearance of Halley's comet in 1066 AD.</t>
  </si>
  <si>
    <t>A94</t>
  </si>
  <si>
    <t>WOS:000177274700170</t>
  </si>
  <si>
    <t>Noguchi, T; Nakamura, T; Nozaki, W</t>
  </si>
  <si>
    <t>Variety of mineralogy among antarctic micrometeorites: Comparison with hydrated carbonaceous chondrites.</t>
  </si>
  <si>
    <t>Kyushu Univ, Fukuoka 8128581, Japan; Ibaraki Univ, Mito, Ibaraki 3108512, Japan</t>
  </si>
  <si>
    <t>Kyushu University; Ibaraki University</t>
  </si>
  <si>
    <t>A111</t>
  </si>
  <si>
    <t>WOS:000177274700204</t>
  </si>
  <si>
    <t>Noble gases in the ancient antarctic micrometeorites collected at the meteorite ice field around the Yamato mountains.</t>
  </si>
  <si>
    <t>A113</t>
  </si>
  <si>
    <t>WOS:000177274700208</t>
  </si>
  <si>
    <t>Tomiyama, T; Misawa, K</t>
  </si>
  <si>
    <t>Manganese/chromium ratio of olivine in L chondrites.</t>
  </si>
  <si>
    <t>THERMAL HISTORIES; PARENT BODIES; METEORITES</t>
  </si>
  <si>
    <t>Natl Inst Polar Res, Antarctic Meteorite Res ctr, Tokyo 1738515, Japan</t>
  </si>
  <si>
    <t>A140</t>
  </si>
  <si>
    <t>WOS:000177274700263</t>
  </si>
  <si>
    <t>Yada, I; Matsumoto, N; Nakamura, T; Noguchi, I; Setoyanagi, T; Takaoka, N; Kojima, H</t>
  </si>
  <si>
    <t>Oxygen isotopic composition of mineral grains in antarctic micrometeorites and bulkspherules:: A spherule having large Δ17O.</t>
  </si>
  <si>
    <t>Univ Tokyo, Dept Earth &amp; Planetary Sci, Tokyo 1130033, Japan; Kyushu Univ, Dept Earth &amp; Planetary Sci, Fukuoka 8128581, Japan; Ibaraki Univ, Dept Mat &amp; Biol Sci, Mito, Ibaraki 3108581, Japan; Tokyo Metropolitan Univ, Dept Chem, Hachioji, Tokyo 1920397, Japan; Natl Inst Polar Res, Tokyo 1738515, Japan</t>
  </si>
  <si>
    <t>University of Tokyo; Kyushu University; Ibaraki University; Tokyo Metropolitan University; Research Organization of Information &amp; Systems (ROIS); National Institute of Polar Research (NIPR) - Japan</t>
  </si>
  <si>
    <t>A152</t>
  </si>
  <si>
    <t>WOS:000177274700286</t>
  </si>
  <si>
    <t>Derome, N; Chen, WJ; Dettaï, A; Bonillo, C; Lecointre, G</t>
  </si>
  <si>
    <t>Phylogeny of Antarctic dragonfishes (Bathydraconidae, Notothenioidei, Teleostei) and related families based on their anatomy and two mitochondrial genes</t>
  </si>
  <si>
    <t>MOLECULAR PHYLOGENETICS AND EVOLUTION</t>
  </si>
  <si>
    <t>Artedidraconidae; Bathydraconidae; Channichthyidae; dragonfish; icefish; incongruence; Harpagiferidae; Notothenioidei</t>
  </si>
  <si>
    <t>MOLECULAR EVOLUTION; SPECIES PHYLOGENIES; SEQUENCE DATA; FISHES; TREES; DNA; CONGRUENCE; INCONGRUENCE; CONSEQUENCES; POLYMERASE</t>
  </si>
  <si>
    <t>Although Antarctic teleosts of the suborder Notothenioidei are well studied, the status of some families remains unclear because of limited taxonomic sampling and sometimes poor statistical support from molecular phylogenies. It is true for the Bathydraconidae, the sister-family of the famous haemoglobin-less icefishes, the Channichthyidae. The present study is aimed at clarifying bathydraconid phylogeny and the interrelationships of higher notothenioid families, taking nototheniids as the outgroup. For this purpose, about 300 positions in the mitochondrial control region, 750 positions in the cytochrome b, and a matrix of morphological characters were employed for separate and simultaneous phylogenetic analyses. We conclude that (1) molecular data strongly support the split of bathydraconids into three clades, here called the Bathydraconinae (Bathydraco, Prionodraco, Racovitzia), the Gymnodraconinae (Gymnodraco, Psilodraco, Acanthodraco), and the Cygnodraconinae (Cygnodraco, Gerlachea, Parachaenichthys). Interrelationships between these three and the Channichthyidae remain unclear. Molecular data support neither paraphyly nor monophyly of the bathydraconids, while morphology leads to the monophyly of the family based on the synapomorphic loss of the spinous dorsal fin; (2) The Channichthyidae, the Harpagiferidae, and the Artedidraconidae are monophyletic families; (3) the phylogeny of the haemoglobin-less channichthyids is completely resolved and congruent with the conclusions of Iwami (1985) based on anatomical characters; (4) The present molecular results as well as other molecular studies favour the hypothesis that harpagiferids are the sister-group of artedidraconids, though our morphological matrix puts harpagiferids as the sister-group of all other families on the basis of a single character. With regard to harpagiferid relationships, it is interesting to notice that, when analysed simultaneously, morphological characters are not automatically swamped within molecular ones: in the tree based on the simultaneous analysis of all available data, morphological characters impose their topology on molecules. (C) 2002 Elsevier Science (USA). All rights reserved.</t>
  </si>
  <si>
    <t>Museum Natl Hist Nat, Lab Ichtyol Gen &amp; Appl, F-75231 Paris 05, France; Museum Natl Hist Nat, Serv Systemat Mol, Inst Systemat, CNRS,FR 1541, F-75231 Paris 05, France</t>
  </si>
  <si>
    <t>Museum National d'Histoire Naturelle (MNHN); Centre National de la Recherche Scientifique (CNRS); Museum National d'Histoire Naturelle (MNHN)</t>
  </si>
  <si>
    <t>Museum Natl Hist Nat, Lab Ichtyol Gen &amp; Appl, 43 Rue Cuvier, F-75231 Paris 05, France.</t>
  </si>
  <si>
    <t>lecointr@mnhn.fr</t>
  </si>
  <si>
    <t>Dettai, Agnes/E-7838-2010; Dettai, Agnes/Q-6743-2019; CHEN, Wei-Jen/A-2605-2008</t>
  </si>
  <si>
    <t>CHEN, Wei-Jen/0000-0003-4751-7632</t>
  </si>
  <si>
    <t>1055-7903</t>
  </si>
  <si>
    <t>1095-9513</t>
  </si>
  <si>
    <t>MOL PHYLOGENET EVOL</t>
  </si>
  <si>
    <t>Mol. Phylogenet. Evol.</t>
  </si>
  <si>
    <t>PII S1055-7903(02)00223-3</t>
  </si>
  <si>
    <t>10.1016/S1055-7903(02)00223-3</t>
  </si>
  <si>
    <t>580KN</t>
  </si>
  <si>
    <t>WOS:000177233900012</t>
  </si>
  <si>
    <t>Zou, CZ; Van Woert, ML</t>
  </si>
  <si>
    <t>Atmospheric wind retrievals from satellite soundings over the middle- and high-latitude oceans</t>
  </si>
  <si>
    <t>ANTARCTIC PRECIPITATION; HYDROLOGIC-CYCLE; SOUTHERN-OCEAN; REANALYSES; MOISTURE; DATASET; PROJECT; ENERGY; SSM/I</t>
  </si>
  <si>
    <t>A technique that uses satellite-based surface wind and temperature soundings for deriving three-dimensional atmospheric wind fields is developed for climate studies over the middle- and high-latitude oceans. In this technique, the thermal wind derived from the satellite soundings is added to the surface wind to obtain a first-guess, nonmass-conserved atmospheric wind profile. Then a Lagrange multiplier in a variational formalism is used to force the first-guess wind to conserve mass. Two mass conservation schemes are proposed. One is to use the meridional mass transport conservation equation as a constraint to derive the meridional wind first, and then the vertically integrated mass conservation equation is used to infer the zonal wind. The zonal and meridional winds are obtained separately in this approach. The second scheme is to use the vertically integrated mass conservation equation as a constraint to retrieve the zonal and meridional winds simultaneously from the first-guess field. Temperature soundings from the Television and Infrared Observational Satellite (TIROS) Operational Vertical Sounder (TOVS) Pathfinder Path A dataset and a Special Sensor Microwave Imager (SSM/I) satellite-based surface wind field are used to derive the wind fields. The two mass conservation schemes yield two different wind fields. They are compared with the European Centre for Medium-Range Weather Forecasts (ECMWF) and National Centers for Environmental Prediction-National Center for Atmospheric Research (NCEP-NCAR) re-analyses and radiosonde observations over the Southern Ocean. The general circulation structure of both wind fields is similar to the reanalysis winds. However, the annual-mean bias of the first method is small in both the zonal and meridional winds compared to radiosonde observations, while the zonal wind bias of the second method is as large as -4 m s(-1). The main reason for the difference is that the second method requires that the Lagrange multiplier be zero on the latitudinal boundaries. This forces the retrieved zonal wind to approach the first-guess zonal wind. In contrast, the first method does not require latitudinal boundary conditions, allowing a larger correction to the first-guess zonal wind.</t>
  </si>
  <si>
    <t>NOAA, Off Res &amp; Applicat, NESDIS, Ctr Sci, Camp Springs, MD 20746 USA; US Natl Ice Ctr, Washington, DC USA</t>
  </si>
  <si>
    <t>National Oceanic Atmospheric Admin (NOAA) - USA</t>
  </si>
  <si>
    <t>Zou, CZ (corresponding author), NOAA, Off Res &amp; Applicat, NESDIS, Ctr Sci, Room 711,5200 Auth Rd, Camp Springs, MD 20746 USA.</t>
  </si>
  <si>
    <t>Zou, Cheng-Zhi/E-3085-2010</t>
  </si>
  <si>
    <t>Zou, Cheng-Zhi/0000-0003-4124-6448</t>
  </si>
  <si>
    <t>10.1175/1520-0493(2002)130&lt;1771:AWRFSS&gt;2.0.CO;2</t>
  </si>
  <si>
    <t>556NL</t>
  </si>
  <si>
    <t>WOS:000175855800005</t>
  </si>
  <si>
    <t>Crespo, A; Molina, MC; Blanco, O; Schroeter, B; Sancho, LG; Hawksworth, DL</t>
  </si>
  <si>
    <t>rDNA ITS and β-tubulin gene sequence analyses reveal two monophyletic groups within the cosmopolitan lichen Parmelia saxatilis</t>
  </si>
  <si>
    <t>MYCOLOGICAL RESEARCH</t>
  </si>
  <si>
    <t>GROUP-I INTRON; PHYLOGENY; DISPERSAL</t>
  </si>
  <si>
    <t>A considerable number of species of lichen-forming fungi have wide geographical distributions, but studies of their genetic variability are minimal. ITS rDNA sequences of 32 populations of Parmelia saxatilis from five continents revealed two monophyletic groups. beta-tublin gene sequences from a subset of nine collections supported these conclusions. While the number of collections sequenced is limited, one monophyletic group (the Atlantic Population. AtP) was recognized as occurring in Arctic and Antarctic regions and also included collections from more atlantic sites. Samples from more mesic environments in the Mediterranean region belonged to a second monophyletic group (the Mediterranean Population, MeP). In addition, four subgroups were distinguishable within the Atlantic Population. Norstictic and protocetraric acids are reported from the species for the first time, the norstictic acid only being found in the Atlantic Population. Living thalli from the Atlantic Population were provenance-tested; specimens transported from the UK to central Spain where the Mediterranean Population occurs showed adverse symptoms after six months. These results demonstrate that there can be substantial large-scale genotypic variability within widespread lichen phenospecies, something which has implications for comparative ecological, physiological, and air pollution sensitivity studies as well as for lichen conservation.</t>
  </si>
  <si>
    <t>Univ Complutense Madrid, Fac Farm, Dept Biol Vegetal 2, E-28040 Madrid, Spain; Univ Rey Juan Carlos, Escuela Super Ciencias Expt &amp; Tecnol, Dept Ciencias Expt &amp; Ingn, Madrid 28933, Spain; Univ Kiel, Inst Bot, D-24098 Kiel, Germany</t>
  </si>
  <si>
    <t>Complutense University of Madrid; Universidad Rey Juan Carlos; University of Kiel</t>
  </si>
  <si>
    <t>Univ Complutense Madrid, Fac Farm, Dept Biol Vegetal 2, E-28040 Madrid, Spain.</t>
  </si>
  <si>
    <t>acrespo@eucmax.sim.ucm.es</t>
  </si>
  <si>
    <t>Sancho, leopoldo G./H-2974-2013; SANCHO, LEOPOLDO/G-9120-2015; Crespo, Ana/N-6236-2014; Molina Cobos, Maria del Carmen/H-9399-2015</t>
  </si>
  <si>
    <t>SANCHO, LEOPOLDO/0000-0002-4751-7475; Crespo, Ana/0000-0002-5271-0157; Molina Cobos, Maria del Carmen/0000-0002-8397-5887</t>
  </si>
  <si>
    <t>0953-7562</t>
  </si>
  <si>
    <t>MYCOL RES</t>
  </si>
  <si>
    <t>Mycol. Res.</t>
  </si>
  <si>
    <t>10.1017/S095375620200610X</t>
  </si>
  <si>
    <t>606MG</t>
  </si>
  <si>
    <t>WOS:000178737300006</t>
  </si>
  <si>
    <t>Georgiadis, T; Argentini, S; Mastrantonio, G; Viola, A; Sozzi, R; Nardino, M</t>
  </si>
  <si>
    <t>Boundary layer convective-like activity at Dome Concordia, Antarctica</t>
  </si>
  <si>
    <t>NUOVO CIMENTO DELLA SOCIETA ITALIANA DI FISICA C-GEOPHYSICS AND SPACE PHYSICS</t>
  </si>
  <si>
    <t>ENERGY-BALANCE; HEAT; TEMPERATURE; DEPTH; FLUX; ICE</t>
  </si>
  <si>
    <t>The paper presents the micro-meteorological field experiment carried out at the plateau station of Dome Concordia (3300 m a.s.l.) during the Antarctic summer of 1997. The experiment dealt with the study of the trends of boundary layer features and the characteristics of the surface energy and momentum exchanges. A monostatic Doppler sodar, fast-response sensors and radiometers were used for this study. The experiment was part of a program that aims to assess the role of the continental polar regions in shaping the surface circulation over Antarctica. In spite of the markedly stable conditions found throughout the investigated period, some convective-like activity was detected during the warmer hours of the day.</t>
  </si>
  <si>
    <t>CNR, Inst Atmospher Sci &amp; Climate, ISAC, I-40129 Bologna, Italy</t>
  </si>
  <si>
    <t>Georgiadis, T (corresponding author), CNR, Inst Atmospher Sci &amp; Climate, ISAC, Via Gobetti 101, I-40129 Bologna, Italy.</t>
  </si>
  <si>
    <t>viola, angelo p/C-7184-2015; Georgiadis, Teodoro/AAH-4342-2019; Nardino, Marianna/B-9563-2015; Georgiadis, Teodoro/I-5666-2012</t>
  </si>
  <si>
    <t>Georgiadis, Teodoro/0000-0002-3103-038X; Georgiadis, Teodoro/0000-0002-3103-038X; ARGENTINI, STEFANIA/0000-0002-7939-0309; Nardino, Marianna/0000-0001-9466-8340; viola, angelo pietro/0000-0002-6545-7496</t>
  </si>
  <si>
    <t>EDITRICE COMPOSITORI BOLOGNA</t>
  </si>
  <si>
    <t>SIENA</t>
  </si>
  <si>
    <t>VIA SAN QUIRICO 13/2, I-53100 SIENA, ITALY</t>
  </si>
  <si>
    <t>1124-1896</t>
  </si>
  <si>
    <t>NUOVO CIMENTO C</t>
  </si>
  <si>
    <t>Nuovo Cimento Soc. Ital. Fis. C-Geophys. Space Phys.</t>
  </si>
  <si>
    <t>625JA</t>
  </si>
  <si>
    <t>WOS:000179812300003</t>
  </si>
  <si>
    <t>Kaye, SB; Rothwell, DR</t>
  </si>
  <si>
    <t>Southern ocean boundaries and maritime claims: Another Antarctic challenge for the law of the sea?</t>
  </si>
  <si>
    <t>OCEAN DEVELOPMENT AND INTERNATIONAL LAW</t>
  </si>
  <si>
    <t>Antarctica; delimitation; law of the sea; maritime claims; Southern Ocean</t>
  </si>
  <si>
    <t>Throughout the life of the 1959 Antarctic Treaty there has been considerable development in the law of the sea. Negotiated following the 1958 First United Nations Conference on the Law of the Sea, at which the customary international law concepts of the territorial sea and continental shelf were codified into treaty law, the law of the sea has since developed through state practice and most importantly through the 1982 United Nations Convention on the Law of the Sea. Whatever the merits of examining the interaction between Antarctica and the law of the sea have been in the past, there is much to suggest that the general significance of such issues is growing, especially as states seek to determine the outer limits of their continental shelf claims and in doing so determine Antarctic baselines. This article examines these issues from a general law of the sea perspective, taking into account the impact of the Antarctic Treaty while reviewing Australian practice in particular.</t>
  </si>
  <si>
    <t>Univ Sydney, Fac Law, Sydney, NSW 2000, Australia; James Cook Univ N Queensland, Sch Law, Townsville, Qld 4811, Australia</t>
  </si>
  <si>
    <t>University of Sydney; James Cook University</t>
  </si>
  <si>
    <t>Univ Sydney, Fac Law, 173-175 Phillip St, Sydney, NSW 2000, Australia.</t>
  </si>
  <si>
    <t>donr@law.usyd.edu.au</t>
  </si>
  <si>
    <t>Kaye, Stuart/AAA-1778-2019; Rothwell, Donald/V-1403-2018</t>
  </si>
  <si>
    <t>Kaye, Stuart/0000-0003-4498-5537; Rothwell, Donald/0000-0001-8899-7340</t>
  </si>
  <si>
    <t>0090-8320</t>
  </si>
  <si>
    <t>1521-0642</t>
  </si>
  <si>
    <t>OCEAN DEV INT LAW</t>
  </si>
  <si>
    <t>Ocean Dev. Int. Law</t>
  </si>
  <si>
    <t>JUL-SEP</t>
  </si>
  <si>
    <t>10.1080/00908320290054828</t>
  </si>
  <si>
    <t>International Relations; Law</t>
  </si>
  <si>
    <t>International Relations; Government &amp; Law</t>
  </si>
  <si>
    <t>585NY</t>
  </si>
  <si>
    <t>WOS:000177532200005</t>
  </si>
  <si>
    <t>Grotov, AS; Yaremchuk, MI</t>
  </si>
  <si>
    <t>Large-scale circulation in the Pacific sector of the Southern Ocean reconstructed with variational methods</t>
  </si>
  <si>
    <t>ROSS ICE SHELF; AMUNDSEN; INVERSE; SEAS</t>
  </si>
  <si>
    <t>To reconstruct the large-scale circulation in the Pacific sector of the Southern Ocean with a 1-degree resolution, we used a quasi-stationary geostrophic model. The model is based on the equations of continuity, hydrostatics, geostrophics, and transport of heat and salinity, which include the effects of three-dimensional diffusion of temperature, salinity, and momentum as well as describe the processes of vertical convective mixing. On the basis of the variational method for the assimilation of the data from the hydrological section S4 WOCE along 67degrees S, as well as of the data on tangential wind stress and hydrology, we obtained the principal characteristics of the large-scale circulation. The calculated current fields agree well with independent velocity measurements. Taking into account the effect of boundary layers at the rigid side boundaries of the calculation domain allows us to obtain some elements of the near-shore circulation corresponding to the actual currents in the zone of the continental slope of the Antarctic continent.</t>
  </si>
  <si>
    <t>Grotov, AS (corresponding author), Russian Acad Sci, Inst Oceanol, Moscow 117218, Russia.</t>
  </si>
  <si>
    <t>592PA</t>
  </si>
  <si>
    <t>WOS:000177945000001</t>
  </si>
  <si>
    <t>Biogeographic zonation of the nannoplankton of the Southern Ocean in the Pliocene</t>
  </si>
  <si>
    <t>HISTORY</t>
  </si>
  <si>
    <t>Two schematics of biogeographic zonation for the Early and Late Pliocene bottom sediments of the Southern Ocean were compiled based on the data on calcareous nannoplankton from the cores obtained within the DSDP and ODP deep-sea drilling programs. Consideration of about 50 habitats of species and genera and assessment of the changes in the coccolith number over the area and paleoecological groups of species enabled four zones to be distinguished: polar (Antarctic), subpolar (Subantarctic), moderate (notal), and subtropical. The migrations of the zones during the Pliocene and climatic changes in selected areas of the Southern Ocean are marked.</t>
  </si>
  <si>
    <t>Dmitrenko, OB (corresponding author), Russian Acad Sci, Inst Oceanol, Moscow 117218, Russia.</t>
  </si>
  <si>
    <t>WOS:000177945000015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</si>
</sst>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75</v>
      </c>
      <c r="E2" t="s">
        <v>74</v>
      </c>
      <c r="F2" t="s">
        <v>73</v>
      </c>
      <c r="G2" t="s">
        <v>74</v>
      </c>
      <c r="H2" t="s">
        <v>74</v>
      </c>
      <c r="I2" t="s">
        <v>76</v>
      </c>
      <c r="J2" t="s">
        <v>77</v>
      </c>
      <c r="K2" t="s">
        <v>74</v>
      </c>
      <c r="L2" t="s">
        <v>74</v>
      </c>
      <c r="M2" t="s">
        <v>78</v>
      </c>
      <c r="N2" t="s">
        <v>79</v>
      </c>
      <c r="O2" t="s">
        <v>80</v>
      </c>
      <c r="P2" t="s">
        <v>81</v>
      </c>
      <c r="Q2" t="s">
        <v>82</v>
      </c>
      <c r="R2" t="s">
        <v>74</v>
      </c>
      <c r="S2" t="s">
        <v>83</v>
      </c>
      <c r="T2" t="s">
        <v>84</v>
      </c>
      <c r="U2" t="s">
        <v>85</v>
      </c>
      <c r="V2" t="s">
        <v>86</v>
      </c>
      <c r="W2" t="s">
        <v>87</v>
      </c>
      <c r="X2" t="s">
        <v>88</v>
      </c>
      <c r="Y2" t="s">
        <v>89</v>
      </c>
      <c r="Z2" t="s">
        <v>74</v>
      </c>
      <c r="AA2" t="s">
        <v>74</v>
      </c>
      <c r="AB2" t="s">
        <v>74</v>
      </c>
      <c r="AC2" t="s">
        <v>74</v>
      </c>
      <c r="AD2" t="s">
        <v>74</v>
      </c>
      <c r="AE2" t="s">
        <v>74</v>
      </c>
      <c r="AF2" t="s">
        <v>74</v>
      </c>
      <c r="AG2">
        <v>21</v>
      </c>
      <c r="AH2">
        <v>3</v>
      </c>
      <c r="AI2">
        <v>3</v>
      </c>
      <c r="AJ2">
        <v>0</v>
      </c>
      <c r="AK2">
        <v>4</v>
      </c>
      <c r="AL2" t="s">
        <v>90</v>
      </c>
      <c r="AM2" t="s">
        <v>91</v>
      </c>
      <c r="AN2" t="s">
        <v>92</v>
      </c>
      <c r="AO2" t="s">
        <v>74</v>
      </c>
      <c r="AP2" t="s">
        <v>74</v>
      </c>
      <c r="AQ2" t="s">
        <v>93</v>
      </c>
      <c r="AR2" t="s">
        <v>74</v>
      </c>
      <c r="AS2" t="s">
        <v>74</v>
      </c>
      <c r="AT2" t="s">
        <v>74</v>
      </c>
      <c r="AU2">
        <v>2003</v>
      </c>
      <c r="AV2" t="s">
        <v>74</v>
      </c>
      <c r="AW2" t="s">
        <v>74</v>
      </c>
      <c r="AX2" t="s">
        <v>74</v>
      </c>
      <c r="AY2" t="s">
        <v>74</v>
      </c>
      <c r="AZ2" t="s">
        <v>74</v>
      </c>
      <c r="BA2" t="s">
        <v>74</v>
      </c>
      <c r="BB2">
        <v>144</v>
      </c>
      <c r="BC2">
        <v>147</v>
      </c>
      <c r="BD2" t="s">
        <v>74</v>
      </c>
      <c r="BE2" t="s">
        <v>74</v>
      </c>
      <c r="BF2" t="s">
        <v>74</v>
      </c>
      <c r="BG2" t="s">
        <v>74</v>
      </c>
      <c r="BH2" t="s">
        <v>74</v>
      </c>
      <c r="BI2">
        <v>4</v>
      </c>
      <c r="BJ2" t="s">
        <v>94</v>
      </c>
      <c r="BK2" t="s">
        <v>95</v>
      </c>
      <c r="BL2" t="s">
        <v>96</v>
      </c>
      <c r="BM2" t="s">
        <v>97</v>
      </c>
      <c r="BN2" t="s">
        <v>74</v>
      </c>
      <c r="BO2" t="s">
        <v>74</v>
      </c>
      <c r="BP2" t="s">
        <v>74</v>
      </c>
      <c r="BQ2" t="s">
        <v>74</v>
      </c>
      <c r="BR2" t="s">
        <v>98</v>
      </c>
      <c r="BS2" t="s">
        <v>99</v>
      </c>
      <c r="BT2" t="str">
        <f>HYPERLINK("https%3A%2F%2Fwww.webofscience.com%2Fwos%2Fwoscc%2Ffull-record%2FWOS:000183287900022","View Full Record in Web of Science")</f>
        <v>View Full Record in Web of Science</v>
      </c>
    </row>
    <row r="3" spans="1:72" x14ac:dyDescent="0.15">
      <c r="A3" t="s">
        <v>72</v>
      </c>
      <c r="B3" t="s">
        <v>100</v>
      </c>
      <c r="C3" t="s">
        <v>74</v>
      </c>
      <c r="D3" t="s">
        <v>75</v>
      </c>
      <c r="E3" t="s">
        <v>74</v>
      </c>
      <c r="F3" t="s">
        <v>100</v>
      </c>
      <c r="G3" t="s">
        <v>74</v>
      </c>
      <c r="H3" t="s">
        <v>74</v>
      </c>
      <c r="I3" t="s">
        <v>101</v>
      </c>
      <c r="J3" t="s">
        <v>77</v>
      </c>
      <c r="K3" t="s">
        <v>74</v>
      </c>
      <c r="L3" t="s">
        <v>74</v>
      </c>
      <c r="M3" t="s">
        <v>78</v>
      </c>
      <c r="N3" t="s">
        <v>79</v>
      </c>
      <c r="O3" t="s">
        <v>80</v>
      </c>
      <c r="P3" t="s">
        <v>81</v>
      </c>
      <c r="Q3" t="s">
        <v>82</v>
      </c>
      <c r="R3" t="s">
        <v>74</v>
      </c>
      <c r="S3" t="s">
        <v>83</v>
      </c>
      <c r="T3" t="s">
        <v>102</v>
      </c>
      <c r="U3" t="s">
        <v>103</v>
      </c>
      <c r="V3" t="s">
        <v>104</v>
      </c>
      <c r="W3" t="s">
        <v>105</v>
      </c>
      <c r="X3" t="s">
        <v>106</v>
      </c>
      <c r="Y3" t="s">
        <v>107</v>
      </c>
      <c r="Z3" t="s">
        <v>108</v>
      </c>
      <c r="AA3" t="s">
        <v>109</v>
      </c>
      <c r="AB3" t="s">
        <v>110</v>
      </c>
      <c r="AC3" t="s">
        <v>74</v>
      </c>
      <c r="AD3" t="s">
        <v>74</v>
      </c>
      <c r="AE3" t="s">
        <v>74</v>
      </c>
      <c r="AF3" t="s">
        <v>74</v>
      </c>
      <c r="AG3">
        <v>33</v>
      </c>
      <c r="AH3">
        <v>5</v>
      </c>
      <c r="AI3">
        <v>7</v>
      </c>
      <c r="AJ3">
        <v>2</v>
      </c>
      <c r="AK3">
        <v>12</v>
      </c>
      <c r="AL3" t="s">
        <v>90</v>
      </c>
      <c r="AM3" t="s">
        <v>91</v>
      </c>
      <c r="AN3" t="s">
        <v>92</v>
      </c>
      <c r="AO3" t="s">
        <v>74</v>
      </c>
      <c r="AP3" t="s">
        <v>74</v>
      </c>
      <c r="AQ3" t="s">
        <v>93</v>
      </c>
      <c r="AR3" t="s">
        <v>74</v>
      </c>
      <c r="AS3" t="s">
        <v>74</v>
      </c>
      <c r="AT3" t="s">
        <v>74</v>
      </c>
      <c r="AU3">
        <v>2003</v>
      </c>
      <c r="AV3" t="s">
        <v>74</v>
      </c>
      <c r="AW3" t="s">
        <v>74</v>
      </c>
      <c r="AX3" t="s">
        <v>74</v>
      </c>
      <c r="AY3" t="s">
        <v>74</v>
      </c>
      <c r="AZ3" t="s">
        <v>74</v>
      </c>
      <c r="BA3" t="s">
        <v>74</v>
      </c>
      <c r="BB3">
        <v>148</v>
      </c>
      <c r="BC3">
        <v>151</v>
      </c>
      <c r="BD3" t="s">
        <v>74</v>
      </c>
      <c r="BE3" t="s">
        <v>74</v>
      </c>
      <c r="BF3" t="s">
        <v>74</v>
      </c>
      <c r="BG3" t="s">
        <v>74</v>
      </c>
      <c r="BH3" t="s">
        <v>74</v>
      </c>
      <c r="BI3">
        <v>4</v>
      </c>
      <c r="BJ3" t="s">
        <v>94</v>
      </c>
      <c r="BK3" t="s">
        <v>95</v>
      </c>
      <c r="BL3" t="s">
        <v>96</v>
      </c>
      <c r="BM3" t="s">
        <v>97</v>
      </c>
      <c r="BN3" t="s">
        <v>74</v>
      </c>
      <c r="BO3" t="s">
        <v>74</v>
      </c>
      <c r="BP3" t="s">
        <v>74</v>
      </c>
      <c r="BQ3" t="s">
        <v>74</v>
      </c>
      <c r="BR3" t="s">
        <v>98</v>
      </c>
      <c r="BS3" t="s">
        <v>111</v>
      </c>
      <c r="BT3" t="str">
        <f>HYPERLINK("https%3A%2F%2Fwww.webofscience.com%2Fwos%2Fwoscc%2Ffull-record%2FWOS:000183287900023","View Full Record in Web of Science")</f>
        <v>View Full Record in Web of Science</v>
      </c>
    </row>
    <row r="4" spans="1:72" x14ac:dyDescent="0.15">
      <c r="A4" t="s">
        <v>72</v>
      </c>
      <c r="B4" t="s">
        <v>112</v>
      </c>
      <c r="C4" t="s">
        <v>74</v>
      </c>
      <c r="D4" t="s">
        <v>75</v>
      </c>
      <c r="E4" t="s">
        <v>74</v>
      </c>
      <c r="F4" t="s">
        <v>112</v>
      </c>
      <c r="G4" t="s">
        <v>74</v>
      </c>
      <c r="H4" t="s">
        <v>74</v>
      </c>
      <c r="I4" t="s">
        <v>113</v>
      </c>
      <c r="J4" t="s">
        <v>77</v>
      </c>
      <c r="K4" t="s">
        <v>74</v>
      </c>
      <c r="L4" t="s">
        <v>74</v>
      </c>
      <c r="M4" t="s">
        <v>78</v>
      </c>
      <c r="N4" t="s">
        <v>79</v>
      </c>
      <c r="O4" t="s">
        <v>80</v>
      </c>
      <c r="P4" t="s">
        <v>81</v>
      </c>
      <c r="Q4" t="s">
        <v>82</v>
      </c>
      <c r="R4" t="s">
        <v>74</v>
      </c>
      <c r="S4" t="s">
        <v>83</v>
      </c>
      <c r="T4" t="s">
        <v>114</v>
      </c>
      <c r="U4" t="s">
        <v>115</v>
      </c>
      <c r="V4" t="s">
        <v>116</v>
      </c>
      <c r="W4" t="s">
        <v>117</v>
      </c>
      <c r="X4" t="s">
        <v>118</v>
      </c>
      <c r="Y4" t="s">
        <v>119</v>
      </c>
      <c r="Z4" t="s">
        <v>74</v>
      </c>
      <c r="AA4" t="s">
        <v>120</v>
      </c>
      <c r="AB4" t="s">
        <v>121</v>
      </c>
      <c r="AC4" t="s">
        <v>74</v>
      </c>
      <c r="AD4" t="s">
        <v>74</v>
      </c>
      <c r="AE4" t="s">
        <v>74</v>
      </c>
      <c r="AF4" t="s">
        <v>74</v>
      </c>
      <c r="AG4">
        <v>26</v>
      </c>
      <c r="AH4">
        <v>2</v>
      </c>
      <c r="AI4">
        <v>2</v>
      </c>
      <c r="AJ4">
        <v>0</v>
      </c>
      <c r="AK4">
        <v>1</v>
      </c>
      <c r="AL4" t="s">
        <v>90</v>
      </c>
      <c r="AM4" t="s">
        <v>91</v>
      </c>
      <c r="AN4" t="s">
        <v>92</v>
      </c>
      <c r="AO4" t="s">
        <v>74</v>
      </c>
      <c r="AP4" t="s">
        <v>74</v>
      </c>
      <c r="AQ4" t="s">
        <v>93</v>
      </c>
      <c r="AR4" t="s">
        <v>74</v>
      </c>
      <c r="AS4" t="s">
        <v>74</v>
      </c>
      <c r="AT4" t="s">
        <v>74</v>
      </c>
      <c r="AU4">
        <v>2003</v>
      </c>
      <c r="AV4" t="s">
        <v>74</v>
      </c>
      <c r="AW4" t="s">
        <v>74</v>
      </c>
      <c r="AX4" t="s">
        <v>74</v>
      </c>
      <c r="AY4" t="s">
        <v>74</v>
      </c>
      <c r="AZ4" t="s">
        <v>74</v>
      </c>
      <c r="BA4" t="s">
        <v>74</v>
      </c>
      <c r="BB4">
        <v>152</v>
      </c>
      <c r="BC4">
        <v>156</v>
      </c>
      <c r="BD4" t="s">
        <v>74</v>
      </c>
      <c r="BE4" t="s">
        <v>74</v>
      </c>
      <c r="BF4" t="s">
        <v>74</v>
      </c>
      <c r="BG4" t="s">
        <v>74</v>
      </c>
      <c r="BH4" t="s">
        <v>74</v>
      </c>
      <c r="BI4">
        <v>5</v>
      </c>
      <c r="BJ4" t="s">
        <v>94</v>
      </c>
      <c r="BK4" t="s">
        <v>95</v>
      </c>
      <c r="BL4" t="s">
        <v>96</v>
      </c>
      <c r="BM4" t="s">
        <v>97</v>
      </c>
      <c r="BN4" t="s">
        <v>74</v>
      </c>
      <c r="BO4" t="s">
        <v>74</v>
      </c>
      <c r="BP4" t="s">
        <v>74</v>
      </c>
      <c r="BQ4" t="s">
        <v>74</v>
      </c>
      <c r="BR4" t="s">
        <v>98</v>
      </c>
      <c r="BS4" t="s">
        <v>122</v>
      </c>
      <c r="BT4" t="str">
        <f>HYPERLINK("https%3A%2F%2Fwww.webofscience.com%2Fwos%2Fwoscc%2Ffull-record%2FWOS:000183287900024","View Full Record in Web of Science")</f>
        <v>View Full Record in Web of Science</v>
      </c>
    </row>
    <row r="5" spans="1:72" x14ac:dyDescent="0.15">
      <c r="A5" t="s">
        <v>72</v>
      </c>
      <c r="B5" t="s">
        <v>123</v>
      </c>
      <c r="C5" t="s">
        <v>74</v>
      </c>
      <c r="D5" t="s">
        <v>75</v>
      </c>
      <c r="E5" t="s">
        <v>74</v>
      </c>
      <c r="F5" t="s">
        <v>123</v>
      </c>
      <c r="G5" t="s">
        <v>74</v>
      </c>
      <c r="H5" t="s">
        <v>74</v>
      </c>
      <c r="I5" t="s">
        <v>124</v>
      </c>
      <c r="J5" t="s">
        <v>77</v>
      </c>
      <c r="K5" t="s">
        <v>74</v>
      </c>
      <c r="L5" t="s">
        <v>74</v>
      </c>
      <c r="M5" t="s">
        <v>78</v>
      </c>
      <c r="N5" t="s">
        <v>79</v>
      </c>
      <c r="O5" t="s">
        <v>80</v>
      </c>
      <c r="P5" t="s">
        <v>81</v>
      </c>
      <c r="Q5" t="s">
        <v>82</v>
      </c>
      <c r="R5" t="s">
        <v>74</v>
      </c>
      <c r="S5" t="s">
        <v>83</v>
      </c>
      <c r="T5" t="s">
        <v>125</v>
      </c>
      <c r="U5" t="s">
        <v>126</v>
      </c>
      <c r="V5" t="s">
        <v>127</v>
      </c>
      <c r="W5" t="s">
        <v>128</v>
      </c>
      <c r="X5" t="s">
        <v>129</v>
      </c>
      <c r="Y5" t="s">
        <v>130</v>
      </c>
      <c r="Z5" t="s">
        <v>74</v>
      </c>
      <c r="AA5" t="s">
        <v>131</v>
      </c>
      <c r="AB5" t="s">
        <v>132</v>
      </c>
      <c r="AC5" t="s">
        <v>74</v>
      </c>
      <c r="AD5" t="s">
        <v>74</v>
      </c>
      <c r="AE5" t="s">
        <v>74</v>
      </c>
      <c r="AF5" t="s">
        <v>74</v>
      </c>
      <c r="AG5">
        <v>16</v>
      </c>
      <c r="AH5">
        <v>1</v>
      </c>
      <c r="AI5">
        <v>2</v>
      </c>
      <c r="AJ5">
        <v>0</v>
      </c>
      <c r="AK5">
        <v>1</v>
      </c>
      <c r="AL5" t="s">
        <v>90</v>
      </c>
      <c r="AM5" t="s">
        <v>91</v>
      </c>
      <c r="AN5" t="s">
        <v>92</v>
      </c>
      <c r="AO5" t="s">
        <v>74</v>
      </c>
      <c r="AP5" t="s">
        <v>74</v>
      </c>
      <c r="AQ5" t="s">
        <v>93</v>
      </c>
      <c r="AR5" t="s">
        <v>74</v>
      </c>
      <c r="AS5" t="s">
        <v>74</v>
      </c>
      <c r="AT5" t="s">
        <v>74</v>
      </c>
      <c r="AU5">
        <v>2003</v>
      </c>
      <c r="AV5" t="s">
        <v>74</v>
      </c>
      <c r="AW5" t="s">
        <v>74</v>
      </c>
      <c r="AX5" t="s">
        <v>74</v>
      </c>
      <c r="AY5" t="s">
        <v>74</v>
      </c>
      <c r="AZ5" t="s">
        <v>74</v>
      </c>
      <c r="BA5" t="s">
        <v>74</v>
      </c>
      <c r="BB5">
        <v>157</v>
      </c>
      <c r="BC5">
        <v>160</v>
      </c>
      <c r="BD5" t="s">
        <v>74</v>
      </c>
      <c r="BE5" t="s">
        <v>74</v>
      </c>
      <c r="BF5" t="s">
        <v>74</v>
      </c>
      <c r="BG5" t="s">
        <v>74</v>
      </c>
      <c r="BH5" t="s">
        <v>74</v>
      </c>
      <c r="BI5">
        <v>4</v>
      </c>
      <c r="BJ5" t="s">
        <v>94</v>
      </c>
      <c r="BK5" t="s">
        <v>95</v>
      </c>
      <c r="BL5" t="s">
        <v>96</v>
      </c>
      <c r="BM5" t="s">
        <v>97</v>
      </c>
      <c r="BN5" t="s">
        <v>74</v>
      </c>
      <c r="BO5" t="s">
        <v>74</v>
      </c>
      <c r="BP5" t="s">
        <v>74</v>
      </c>
      <c r="BQ5" t="s">
        <v>74</v>
      </c>
      <c r="BR5" t="s">
        <v>98</v>
      </c>
      <c r="BS5" t="s">
        <v>133</v>
      </c>
      <c r="BT5" t="str">
        <f>HYPERLINK("https%3A%2F%2Fwww.webofscience.com%2Fwos%2Fwoscc%2Ffull-record%2FWOS:000183287900025","View Full Record in Web of Science")</f>
        <v>View Full Record in Web of Science</v>
      </c>
    </row>
    <row r="6" spans="1:72" x14ac:dyDescent="0.15">
      <c r="A6" t="s">
        <v>72</v>
      </c>
      <c r="B6" t="s">
        <v>134</v>
      </c>
      <c r="C6" t="s">
        <v>74</v>
      </c>
      <c r="D6" t="s">
        <v>75</v>
      </c>
      <c r="E6" t="s">
        <v>74</v>
      </c>
      <c r="F6" t="s">
        <v>134</v>
      </c>
      <c r="G6" t="s">
        <v>74</v>
      </c>
      <c r="H6" t="s">
        <v>74</v>
      </c>
      <c r="I6" t="s">
        <v>135</v>
      </c>
      <c r="J6" t="s">
        <v>77</v>
      </c>
      <c r="K6" t="s">
        <v>74</v>
      </c>
      <c r="L6" t="s">
        <v>74</v>
      </c>
      <c r="M6" t="s">
        <v>78</v>
      </c>
      <c r="N6" t="s">
        <v>79</v>
      </c>
      <c r="O6" t="s">
        <v>80</v>
      </c>
      <c r="P6" t="s">
        <v>81</v>
      </c>
      <c r="Q6" t="s">
        <v>82</v>
      </c>
      <c r="R6" t="s">
        <v>74</v>
      </c>
      <c r="S6" t="s">
        <v>83</v>
      </c>
      <c r="T6" t="s">
        <v>136</v>
      </c>
      <c r="U6" t="s">
        <v>137</v>
      </c>
      <c r="V6" t="s">
        <v>138</v>
      </c>
      <c r="W6" t="s">
        <v>139</v>
      </c>
      <c r="X6" t="s">
        <v>140</v>
      </c>
      <c r="Y6" t="s">
        <v>141</v>
      </c>
      <c r="Z6" t="s">
        <v>74</v>
      </c>
      <c r="AA6" t="s">
        <v>74</v>
      </c>
      <c r="AB6" t="s">
        <v>74</v>
      </c>
      <c r="AC6" t="s">
        <v>74</v>
      </c>
      <c r="AD6" t="s">
        <v>74</v>
      </c>
      <c r="AE6" t="s">
        <v>74</v>
      </c>
      <c r="AF6" t="s">
        <v>74</v>
      </c>
      <c r="AG6">
        <v>39</v>
      </c>
      <c r="AH6">
        <v>12</v>
      </c>
      <c r="AI6">
        <v>12</v>
      </c>
      <c r="AJ6">
        <v>0</v>
      </c>
      <c r="AK6">
        <v>11</v>
      </c>
      <c r="AL6" t="s">
        <v>90</v>
      </c>
      <c r="AM6" t="s">
        <v>91</v>
      </c>
      <c r="AN6" t="s">
        <v>92</v>
      </c>
      <c r="AO6" t="s">
        <v>74</v>
      </c>
      <c r="AP6" t="s">
        <v>74</v>
      </c>
      <c r="AQ6" t="s">
        <v>93</v>
      </c>
      <c r="AR6" t="s">
        <v>74</v>
      </c>
      <c r="AS6" t="s">
        <v>74</v>
      </c>
      <c r="AT6" t="s">
        <v>74</v>
      </c>
      <c r="AU6">
        <v>2003</v>
      </c>
      <c r="AV6" t="s">
        <v>74</v>
      </c>
      <c r="AW6" t="s">
        <v>74</v>
      </c>
      <c r="AX6" t="s">
        <v>74</v>
      </c>
      <c r="AY6" t="s">
        <v>74</v>
      </c>
      <c r="AZ6" t="s">
        <v>74</v>
      </c>
      <c r="BA6" t="s">
        <v>74</v>
      </c>
      <c r="BB6">
        <v>161</v>
      </c>
      <c r="BC6">
        <v>166</v>
      </c>
      <c r="BD6" t="s">
        <v>74</v>
      </c>
      <c r="BE6" t="s">
        <v>74</v>
      </c>
      <c r="BF6" t="s">
        <v>74</v>
      </c>
      <c r="BG6" t="s">
        <v>74</v>
      </c>
      <c r="BH6" t="s">
        <v>74</v>
      </c>
      <c r="BI6">
        <v>6</v>
      </c>
      <c r="BJ6" t="s">
        <v>94</v>
      </c>
      <c r="BK6" t="s">
        <v>95</v>
      </c>
      <c r="BL6" t="s">
        <v>96</v>
      </c>
      <c r="BM6" t="s">
        <v>97</v>
      </c>
      <c r="BN6" t="s">
        <v>74</v>
      </c>
      <c r="BO6" t="s">
        <v>74</v>
      </c>
      <c r="BP6" t="s">
        <v>74</v>
      </c>
      <c r="BQ6" t="s">
        <v>74</v>
      </c>
      <c r="BR6" t="s">
        <v>98</v>
      </c>
      <c r="BS6" t="s">
        <v>142</v>
      </c>
      <c r="BT6" t="str">
        <f>HYPERLINK("https%3A%2F%2Fwww.webofscience.com%2Fwos%2Fwoscc%2Ffull-record%2FWOS:000183287900026","View Full Record in Web of Science")</f>
        <v>View Full Record in Web of Science</v>
      </c>
    </row>
    <row r="7" spans="1:72" x14ac:dyDescent="0.15">
      <c r="A7" t="s">
        <v>72</v>
      </c>
      <c r="B7" t="s">
        <v>143</v>
      </c>
      <c r="C7" t="s">
        <v>74</v>
      </c>
      <c r="D7" t="s">
        <v>75</v>
      </c>
      <c r="E7" t="s">
        <v>74</v>
      </c>
      <c r="F7" t="s">
        <v>143</v>
      </c>
      <c r="G7" t="s">
        <v>74</v>
      </c>
      <c r="H7" t="s">
        <v>74</v>
      </c>
      <c r="I7" t="s">
        <v>144</v>
      </c>
      <c r="J7" t="s">
        <v>77</v>
      </c>
      <c r="K7" t="s">
        <v>74</v>
      </c>
      <c r="L7" t="s">
        <v>74</v>
      </c>
      <c r="M7" t="s">
        <v>78</v>
      </c>
      <c r="N7" t="s">
        <v>79</v>
      </c>
      <c r="O7" t="s">
        <v>80</v>
      </c>
      <c r="P7" t="s">
        <v>81</v>
      </c>
      <c r="Q7" t="s">
        <v>82</v>
      </c>
      <c r="R7" t="s">
        <v>74</v>
      </c>
      <c r="S7" t="s">
        <v>83</v>
      </c>
      <c r="T7" t="s">
        <v>145</v>
      </c>
      <c r="U7" t="s">
        <v>146</v>
      </c>
      <c r="V7" t="s">
        <v>147</v>
      </c>
      <c r="W7" t="s">
        <v>148</v>
      </c>
      <c r="X7" t="s">
        <v>149</v>
      </c>
      <c r="Y7" t="s">
        <v>74</v>
      </c>
      <c r="Z7" t="s">
        <v>74</v>
      </c>
      <c r="AA7" t="s">
        <v>150</v>
      </c>
      <c r="AB7" t="s">
        <v>151</v>
      </c>
      <c r="AC7" t="s">
        <v>74</v>
      </c>
      <c r="AD7" t="s">
        <v>74</v>
      </c>
      <c r="AE7" t="s">
        <v>74</v>
      </c>
      <c r="AF7" t="s">
        <v>74</v>
      </c>
      <c r="AG7">
        <v>80</v>
      </c>
      <c r="AH7">
        <v>3</v>
      </c>
      <c r="AI7">
        <v>3</v>
      </c>
      <c r="AJ7">
        <v>0</v>
      </c>
      <c r="AK7">
        <v>25</v>
      </c>
      <c r="AL7" t="s">
        <v>90</v>
      </c>
      <c r="AM7" t="s">
        <v>91</v>
      </c>
      <c r="AN7" t="s">
        <v>92</v>
      </c>
      <c r="AO7" t="s">
        <v>74</v>
      </c>
      <c r="AP7" t="s">
        <v>74</v>
      </c>
      <c r="AQ7" t="s">
        <v>93</v>
      </c>
      <c r="AR7" t="s">
        <v>74</v>
      </c>
      <c r="AS7" t="s">
        <v>74</v>
      </c>
      <c r="AT7" t="s">
        <v>74</v>
      </c>
      <c r="AU7">
        <v>2003</v>
      </c>
      <c r="AV7" t="s">
        <v>74</v>
      </c>
      <c r="AW7" t="s">
        <v>74</v>
      </c>
      <c r="AX7" t="s">
        <v>74</v>
      </c>
      <c r="AY7" t="s">
        <v>74</v>
      </c>
      <c r="AZ7" t="s">
        <v>74</v>
      </c>
      <c r="BA7" t="s">
        <v>74</v>
      </c>
      <c r="BB7">
        <v>169</v>
      </c>
      <c r="BC7">
        <v>175</v>
      </c>
      <c r="BD7" t="s">
        <v>74</v>
      </c>
      <c r="BE7" t="s">
        <v>74</v>
      </c>
      <c r="BF7" t="s">
        <v>74</v>
      </c>
      <c r="BG7" t="s">
        <v>74</v>
      </c>
      <c r="BH7" t="s">
        <v>74</v>
      </c>
      <c r="BI7">
        <v>7</v>
      </c>
      <c r="BJ7" t="s">
        <v>94</v>
      </c>
      <c r="BK7" t="s">
        <v>95</v>
      </c>
      <c r="BL7" t="s">
        <v>96</v>
      </c>
      <c r="BM7" t="s">
        <v>97</v>
      </c>
      <c r="BN7" t="s">
        <v>74</v>
      </c>
      <c r="BO7" t="s">
        <v>74</v>
      </c>
      <c r="BP7" t="s">
        <v>74</v>
      </c>
      <c r="BQ7" t="s">
        <v>74</v>
      </c>
      <c r="BR7" t="s">
        <v>98</v>
      </c>
      <c r="BS7" t="s">
        <v>152</v>
      </c>
      <c r="BT7" t="str">
        <f>HYPERLINK("https%3A%2F%2Fwww.webofscience.com%2Fwos%2Fwoscc%2Ffull-record%2FWOS:000183287900027","View Full Record in Web of Science")</f>
        <v>View Full Record in Web of Science</v>
      </c>
    </row>
    <row r="8" spans="1:72" x14ac:dyDescent="0.15">
      <c r="A8" t="s">
        <v>72</v>
      </c>
      <c r="B8" t="s">
        <v>153</v>
      </c>
      <c r="C8" t="s">
        <v>74</v>
      </c>
      <c r="D8" t="s">
        <v>75</v>
      </c>
      <c r="E8" t="s">
        <v>74</v>
      </c>
      <c r="F8" t="s">
        <v>153</v>
      </c>
      <c r="G8" t="s">
        <v>74</v>
      </c>
      <c r="H8" t="s">
        <v>74</v>
      </c>
      <c r="I8" t="s">
        <v>154</v>
      </c>
      <c r="J8" t="s">
        <v>77</v>
      </c>
      <c r="K8" t="s">
        <v>74</v>
      </c>
      <c r="L8" t="s">
        <v>74</v>
      </c>
      <c r="M8" t="s">
        <v>78</v>
      </c>
      <c r="N8" t="s">
        <v>79</v>
      </c>
      <c r="O8" t="s">
        <v>80</v>
      </c>
      <c r="P8" t="s">
        <v>81</v>
      </c>
      <c r="Q8" t="s">
        <v>82</v>
      </c>
      <c r="R8" t="s">
        <v>74</v>
      </c>
      <c r="S8" t="s">
        <v>83</v>
      </c>
      <c r="T8" t="s">
        <v>155</v>
      </c>
      <c r="U8" t="s">
        <v>156</v>
      </c>
      <c r="V8" t="s">
        <v>157</v>
      </c>
      <c r="W8" t="s">
        <v>158</v>
      </c>
      <c r="X8" t="s">
        <v>159</v>
      </c>
      <c r="Y8" t="s">
        <v>160</v>
      </c>
      <c r="Z8" t="s">
        <v>74</v>
      </c>
      <c r="AA8" t="s">
        <v>161</v>
      </c>
      <c r="AB8" t="s">
        <v>162</v>
      </c>
      <c r="AC8" t="s">
        <v>74</v>
      </c>
      <c r="AD8" t="s">
        <v>74</v>
      </c>
      <c r="AE8" t="s">
        <v>74</v>
      </c>
      <c r="AF8" t="s">
        <v>74</v>
      </c>
      <c r="AG8">
        <v>36</v>
      </c>
      <c r="AH8">
        <v>10</v>
      </c>
      <c r="AI8">
        <v>12</v>
      </c>
      <c r="AJ8">
        <v>0</v>
      </c>
      <c r="AK8">
        <v>9</v>
      </c>
      <c r="AL8" t="s">
        <v>90</v>
      </c>
      <c r="AM8" t="s">
        <v>91</v>
      </c>
      <c r="AN8" t="s">
        <v>92</v>
      </c>
      <c r="AO8" t="s">
        <v>74</v>
      </c>
      <c r="AP8" t="s">
        <v>74</v>
      </c>
      <c r="AQ8" t="s">
        <v>93</v>
      </c>
      <c r="AR8" t="s">
        <v>74</v>
      </c>
      <c r="AS8" t="s">
        <v>74</v>
      </c>
      <c r="AT8" t="s">
        <v>74</v>
      </c>
      <c r="AU8">
        <v>2003</v>
      </c>
      <c r="AV8" t="s">
        <v>74</v>
      </c>
      <c r="AW8" t="s">
        <v>74</v>
      </c>
      <c r="AX8" t="s">
        <v>74</v>
      </c>
      <c r="AY8" t="s">
        <v>74</v>
      </c>
      <c r="AZ8" t="s">
        <v>74</v>
      </c>
      <c r="BA8" t="s">
        <v>74</v>
      </c>
      <c r="BB8">
        <v>176</v>
      </c>
      <c r="BC8">
        <v>181</v>
      </c>
      <c r="BD8" t="s">
        <v>74</v>
      </c>
      <c r="BE8" t="s">
        <v>74</v>
      </c>
      <c r="BF8" t="s">
        <v>74</v>
      </c>
      <c r="BG8" t="s">
        <v>74</v>
      </c>
      <c r="BH8" t="s">
        <v>74</v>
      </c>
      <c r="BI8">
        <v>6</v>
      </c>
      <c r="BJ8" t="s">
        <v>94</v>
      </c>
      <c r="BK8" t="s">
        <v>95</v>
      </c>
      <c r="BL8" t="s">
        <v>96</v>
      </c>
      <c r="BM8" t="s">
        <v>97</v>
      </c>
      <c r="BN8" t="s">
        <v>74</v>
      </c>
      <c r="BO8" t="s">
        <v>74</v>
      </c>
      <c r="BP8" t="s">
        <v>74</v>
      </c>
      <c r="BQ8" t="s">
        <v>74</v>
      </c>
      <c r="BR8" t="s">
        <v>98</v>
      </c>
      <c r="BS8" t="s">
        <v>163</v>
      </c>
      <c r="BT8" t="str">
        <f>HYPERLINK("https%3A%2F%2Fwww.webofscience.com%2Fwos%2Fwoscc%2Ffull-record%2FWOS:000183287900028","View Full Record in Web of Science")</f>
        <v>View Full Record in Web of Science</v>
      </c>
    </row>
    <row r="9" spans="1:72" x14ac:dyDescent="0.15">
      <c r="A9" t="s">
        <v>72</v>
      </c>
      <c r="B9" t="s">
        <v>164</v>
      </c>
      <c r="C9" t="s">
        <v>74</v>
      </c>
      <c r="D9" t="s">
        <v>75</v>
      </c>
      <c r="E9" t="s">
        <v>74</v>
      </c>
      <c r="F9" t="s">
        <v>164</v>
      </c>
      <c r="G9" t="s">
        <v>74</v>
      </c>
      <c r="H9" t="s">
        <v>74</v>
      </c>
      <c r="I9" t="s">
        <v>165</v>
      </c>
      <c r="J9" t="s">
        <v>77</v>
      </c>
      <c r="K9" t="s">
        <v>74</v>
      </c>
      <c r="L9" t="s">
        <v>74</v>
      </c>
      <c r="M9" t="s">
        <v>78</v>
      </c>
      <c r="N9" t="s">
        <v>79</v>
      </c>
      <c r="O9" t="s">
        <v>80</v>
      </c>
      <c r="P9" t="s">
        <v>81</v>
      </c>
      <c r="Q9" t="s">
        <v>82</v>
      </c>
      <c r="R9" t="s">
        <v>74</v>
      </c>
      <c r="S9" t="s">
        <v>83</v>
      </c>
      <c r="T9" t="s">
        <v>166</v>
      </c>
      <c r="U9" t="s">
        <v>167</v>
      </c>
      <c r="V9" t="s">
        <v>168</v>
      </c>
      <c r="W9" t="s">
        <v>169</v>
      </c>
      <c r="X9" t="s">
        <v>170</v>
      </c>
      <c r="Y9" t="s">
        <v>171</v>
      </c>
      <c r="Z9" t="s">
        <v>172</v>
      </c>
      <c r="AA9" t="s">
        <v>173</v>
      </c>
      <c r="AB9" t="s">
        <v>74</v>
      </c>
      <c r="AC9" t="s">
        <v>74</v>
      </c>
      <c r="AD9" t="s">
        <v>74</v>
      </c>
      <c r="AE9" t="s">
        <v>74</v>
      </c>
      <c r="AF9" t="s">
        <v>74</v>
      </c>
      <c r="AG9">
        <v>36</v>
      </c>
      <c r="AH9">
        <v>7</v>
      </c>
      <c r="AI9">
        <v>8</v>
      </c>
      <c r="AJ9">
        <v>0</v>
      </c>
      <c r="AK9">
        <v>6</v>
      </c>
      <c r="AL9" t="s">
        <v>90</v>
      </c>
      <c r="AM9" t="s">
        <v>91</v>
      </c>
      <c r="AN9" t="s">
        <v>92</v>
      </c>
      <c r="AO9" t="s">
        <v>74</v>
      </c>
      <c r="AP9" t="s">
        <v>74</v>
      </c>
      <c r="AQ9" t="s">
        <v>93</v>
      </c>
      <c r="AR9" t="s">
        <v>74</v>
      </c>
      <c r="AS9" t="s">
        <v>74</v>
      </c>
      <c r="AT9" t="s">
        <v>74</v>
      </c>
      <c r="AU9">
        <v>2003</v>
      </c>
      <c r="AV9" t="s">
        <v>74</v>
      </c>
      <c r="AW9" t="s">
        <v>74</v>
      </c>
      <c r="AX9" t="s">
        <v>74</v>
      </c>
      <c r="AY9" t="s">
        <v>74</v>
      </c>
      <c r="AZ9" t="s">
        <v>74</v>
      </c>
      <c r="BA9" t="s">
        <v>74</v>
      </c>
      <c r="BB9">
        <v>182</v>
      </c>
      <c r="BC9">
        <v>186</v>
      </c>
      <c r="BD9" t="s">
        <v>74</v>
      </c>
      <c r="BE9" t="s">
        <v>74</v>
      </c>
      <c r="BF9" t="s">
        <v>74</v>
      </c>
      <c r="BG9" t="s">
        <v>74</v>
      </c>
      <c r="BH9" t="s">
        <v>74</v>
      </c>
      <c r="BI9">
        <v>5</v>
      </c>
      <c r="BJ9" t="s">
        <v>94</v>
      </c>
      <c r="BK9" t="s">
        <v>95</v>
      </c>
      <c r="BL9" t="s">
        <v>96</v>
      </c>
      <c r="BM9" t="s">
        <v>97</v>
      </c>
      <c r="BN9" t="s">
        <v>74</v>
      </c>
      <c r="BO9" t="s">
        <v>74</v>
      </c>
      <c r="BP9" t="s">
        <v>74</v>
      </c>
      <c r="BQ9" t="s">
        <v>74</v>
      </c>
      <c r="BR9" t="s">
        <v>98</v>
      </c>
      <c r="BS9" t="s">
        <v>174</v>
      </c>
      <c r="BT9" t="str">
        <f>HYPERLINK("https%3A%2F%2Fwww.webofscience.com%2Fwos%2Fwoscc%2Ffull-record%2FWOS:000183287900029","View Full Record in Web of Science")</f>
        <v>View Full Record in Web of Science</v>
      </c>
    </row>
    <row r="10" spans="1:72" x14ac:dyDescent="0.15">
      <c r="A10" t="s">
        <v>72</v>
      </c>
      <c r="B10" t="s">
        <v>175</v>
      </c>
      <c r="C10" t="s">
        <v>74</v>
      </c>
      <c r="D10" t="s">
        <v>75</v>
      </c>
      <c r="E10" t="s">
        <v>74</v>
      </c>
      <c r="F10" t="s">
        <v>175</v>
      </c>
      <c r="G10" t="s">
        <v>74</v>
      </c>
      <c r="H10" t="s">
        <v>74</v>
      </c>
      <c r="I10" t="s">
        <v>176</v>
      </c>
      <c r="J10" t="s">
        <v>77</v>
      </c>
      <c r="K10" t="s">
        <v>74</v>
      </c>
      <c r="L10" t="s">
        <v>74</v>
      </c>
      <c r="M10" t="s">
        <v>78</v>
      </c>
      <c r="N10" t="s">
        <v>79</v>
      </c>
      <c r="O10" t="s">
        <v>80</v>
      </c>
      <c r="P10" t="s">
        <v>81</v>
      </c>
      <c r="Q10" t="s">
        <v>82</v>
      </c>
      <c r="R10" t="s">
        <v>74</v>
      </c>
      <c r="S10" t="s">
        <v>83</v>
      </c>
      <c r="T10" t="s">
        <v>177</v>
      </c>
      <c r="U10" t="s">
        <v>178</v>
      </c>
      <c r="V10" t="s">
        <v>179</v>
      </c>
      <c r="W10" t="s">
        <v>180</v>
      </c>
      <c r="X10" t="s">
        <v>181</v>
      </c>
      <c r="Y10" t="s">
        <v>182</v>
      </c>
      <c r="Z10" t="s">
        <v>74</v>
      </c>
      <c r="AA10" t="s">
        <v>74</v>
      </c>
      <c r="AB10" t="s">
        <v>74</v>
      </c>
      <c r="AC10" t="s">
        <v>74</v>
      </c>
      <c r="AD10" t="s">
        <v>74</v>
      </c>
      <c r="AE10" t="s">
        <v>74</v>
      </c>
      <c r="AF10" t="s">
        <v>74</v>
      </c>
      <c r="AG10">
        <v>22</v>
      </c>
      <c r="AH10">
        <v>1</v>
      </c>
      <c r="AI10">
        <v>1</v>
      </c>
      <c r="AJ10">
        <v>0</v>
      </c>
      <c r="AK10">
        <v>3</v>
      </c>
      <c r="AL10" t="s">
        <v>90</v>
      </c>
      <c r="AM10" t="s">
        <v>91</v>
      </c>
      <c r="AN10" t="s">
        <v>92</v>
      </c>
      <c r="AO10" t="s">
        <v>74</v>
      </c>
      <c r="AP10" t="s">
        <v>74</v>
      </c>
      <c r="AQ10" t="s">
        <v>93</v>
      </c>
      <c r="AR10" t="s">
        <v>74</v>
      </c>
      <c r="AS10" t="s">
        <v>74</v>
      </c>
      <c r="AT10" t="s">
        <v>74</v>
      </c>
      <c r="AU10">
        <v>2003</v>
      </c>
      <c r="AV10" t="s">
        <v>74</v>
      </c>
      <c r="AW10" t="s">
        <v>74</v>
      </c>
      <c r="AX10" t="s">
        <v>74</v>
      </c>
      <c r="AY10" t="s">
        <v>74</v>
      </c>
      <c r="AZ10" t="s">
        <v>74</v>
      </c>
      <c r="BA10" t="s">
        <v>74</v>
      </c>
      <c r="BB10">
        <v>187</v>
      </c>
      <c r="BC10">
        <v>192</v>
      </c>
      <c r="BD10" t="s">
        <v>74</v>
      </c>
      <c r="BE10" t="s">
        <v>74</v>
      </c>
      <c r="BF10" t="s">
        <v>74</v>
      </c>
      <c r="BG10" t="s">
        <v>74</v>
      </c>
      <c r="BH10" t="s">
        <v>74</v>
      </c>
      <c r="BI10">
        <v>6</v>
      </c>
      <c r="BJ10" t="s">
        <v>94</v>
      </c>
      <c r="BK10" t="s">
        <v>95</v>
      </c>
      <c r="BL10" t="s">
        <v>96</v>
      </c>
      <c r="BM10" t="s">
        <v>97</v>
      </c>
      <c r="BN10" t="s">
        <v>74</v>
      </c>
      <c r="BO10" t="s">
        <v>74</v>
      </c>
      <c r="BP10" t="s">
        <v>74</v>
      </c>
      <c r="BQ10" t="s">
        <v>74</v>
      </c>
      <c r="BR10" t="s">
        <v>98</v>
      </c>
      <c r="BS10" t="s">
        <v>183</v>
      </c>
      <c r="BT10" t="str">
        <f>HYPERLINK("https%3A%2F%2Fwww.webofscience.com%2Fwos%2Fwoscc%2Ffull-record%2FWOS:000183287900030","View Full Record in Web of Science")</f>
        <v>View Full Record in Web of Science</v>
      </c>
    </row>
    <row r="11" spans="1:72" x14ac:dyDescent="0.15">
      <c r="A11" t="s">
        <v>72</v>
      </c>
      <c r="B11" t="s">
        <v>184</v>
      </c>
      <c r="C11" t="s">
        <v>74</v>
      </c>
      <c r="D11" t="s">
        <v>75</v>
      </c>
      <c r="E11" t="s">
        <v>74</v>
      </c>
      <c r="F11" t="s">
        <v>184</v>
      </c>
      <c r="G11" t="s">
        <v>74</v>
      </c>
      <c r="H11" t="s">
        <v>74</v>
      </c>
      <c r="I11" t="s">
        <v>185</v>
      </c>
      <c r="J11" t="s">
        <v>77</v>
      </c>
      <c r="K11" t="s">
        <v>74</v>
      </c>
      <c r="L11" t="s">
        <v>74</v>
      </c>
      <c r="M11" t="s">
        <v>78</v>
      </c>
      <c r="N11" t="s">
        <v>79</v>
      </c>
      <c r="O11" t="s">
        <v>80</v>
      </c>
      <c r="P11" t="s">
        <v>81</v>
      </c>
      <c r="Q11" t="s">
        <v>82</v>
      </c>
      <c r="R11" t="s">
        <v>74</v>
      </c>
      <c r="S11" t="s">
        <v>83</v>
      </c>
      <c r="T11" t="s">
        <v>186</v>
      </c>
      <c r="U11" t="s">
        <v>187</v>
      </c>
      <c r="V11" t="s">
        <v>188</v>
      </c>
      <c r="W11" t="s">
        <v>189</v>
      </c>
      <c r="X11" t="s">
        <v>190</v>
      </c>
      <c r="Y11" t="s">
        <v>191</v>
      </c>
      <c r="Z11" t="s">
        <v>192</v>
      </c>
      <c r="AA11" t="s">
        <v>193</v>
      </c>
      <c r="AB11" t="s">
        <v>74</v>
      </c>
      <c r="AC11" t="s">
        <v>74</v>
      </c>
      <c r="AD11" t="s">
        <v>74</v>
      </c>
      <c r="AE11" t="s">
        <v>74</v>
      </c>
      <c r="AF11" t="s">
        <v>74</v>
      </c>
      <c r="AG11">
        <v>43</v>
      </c>
      <c r="AH11">
        <v>4</v>
      </c>
      <c r="AI11">
        <v>4</v>
      </c>
      <c r="AJ11">
        <v>0</v>
      </c>
      <c r="AK11">
        <v>6</v>
      </c>
      <c r="AL11" t="s">
        <v>90</v>
      </c>
      <c r="AM11" t="s">
        <v>91</v>
      </c>
      <c r="AN11" t="s">
        <v>92</v>
      </c>
      <c r="AO11" t="s">
        <v>74</v>
      </c>
      <c r="AP11" t="s">
        <v>74</v>
      </c>
      <c r="AQ11" t="s">
        <v>93</v>
      </c>
      <c r="AR11" t="s">
        <v>74</v>
      </c>
      <c r="AS11" t="s">
        <v>74</v>
      </c>
      <c r="AT11" t="s">
        <v>74</v>
      </c>
      <c r="AU11">
        <v>2003</v>
      </c>
      <c r="AV11" t="s">
        <v>74</v>
      </c>
      <c r="AW11" t="s">
        <v>74</v>
      </c>
      <c r="AX11" t="s">
        <v>74</v>
      </c>
      <c r="AY11" t="s">
        <v>74</v>
      </c>
      <c r="AZ11" t="s">
        <v>74</v>
      </c>
      <c r="BA11" t="s">
        <v>74</v>
      </c>
      <c r="BB11">
        <v>193</v>
      </c>
      <c r="BC11">
        <v>197</v>
      </c>
      <c r="BD11" t="s">
        <v>74</v>
      </c>
      <c r="BE11" t="s">
        <v>74</v>
      </c>
      <c r="BF11" t="s">
        <v>74</v>
      </c>
      <c r="BG11" t="s">
        <v>74</v>
      </c>
      <c r="BH11" t="s">
        <v>74</v>
      </c>
      <c r="BI11">
        <v>5</v>
      </c>
      <c r="BJ11" t="s">
        <v>94</v>
      </c>
      <c r="BK11" t="s">
        <v>95</v>
      </c>
      <c r="BL11" t="s">
        <v>96</v>
      </c>
      <c r="BM11" t="s">
        <v>97</v>
      </c>
      <c r="BN11" t="s">
        <v>74</v>
      </c>
      <c r="BO11" t="s">
        <v>74</v>
      </c>
      <c r="BP11" t="s">
        <v>74</v>
      </c>
      <c r="BQ11" t="s">
        <v>74</v>
      </c>
      <c r="BR11" t="s">
        <v>98</v>
      </c>
      <c r="BS11" t="s">
        <v>194</v>
      </c>
      <c r="BT11" t="str">
        <f>HYPERLINK("https%3A%2F%2Fwww.webofscience.com%2Fwos%2Fwoscc%2Ffull-record%2FWOS:000183287900031","View Full Record in Web of Science")</f>
        <v>View Full Record in Web of Science</v>
      </c>
    </row>
    <row r="12" spans="1:72" x14ac:dyDescent="0.15">
      <c r="A12" t="s">
        <v>72</v>
      </c>
      <c r="B12" t="s">
        <v>195</v>
      </c>
      <c r="C12" t="s">
        <v>74</v>
      </c>
      <c r="D12" t="s">
        <v>75</v>
      </c>
      <c r="E12" t="s">
        <v>74</v>
      </c>
      <c r="F12" t="s">
        <v>195</v>
      </c>
      <c r="G12" t="s">
        <v>74</v>
      </c>
      <c r="H12" t="s">
        <v>74</v>
      </c>
      <c r="I12" t="s">
        <v>196</v>
      </c>
      <c r="J12" t="s">
        <v>77</v>
      </c>
      <c r="K12" t="s">
        <v>74</v>
      </c>
      <c r="L12" t="s">
        <v>74</v>
      </c>
      <c r="M12" t="s">
        <v>78</v>
      </c>
      <c r="N12" t="s">
        <v>79</v>
      </c>
      <c r="O12" t="s">
        <v>80</v>
      </c>
      <c r="P12" t="s">
        <v>81</v>
      </c>
      <c r="Q12" t="s">
        <v>82</v>
      </c>
      <c r="R12" t="s">
        <v>74</v>
      </c>
      <c r="S12" t="s">
        <v>83</v>
      </c>
      <c r="T12" t="s">
        <v>197</v>
      </c>
      <c r="U12" t="s">
        <v>198</v>
      </c>
      <c r="V12" t="s">
        <v>199</v>
      </c>
      <c r="W12" t="s">
        <v>200</v>
      </c>
      <c r="X12" t="s">
        <v>74</v>
      </c>
      <c r="Y12" t="s">
        <v>201</v>
      </c>
      <c r="Z12" t="s">
        <v>202</v>
      </c>
      <c r="AA12" t="s">
        <v>74</v>
      </c>
      <c r="AB12" t="s">
        <v>74</v>
      </c>
      <c r="AC12" t="s">
        <v>74</v>
      </c>
      <c r="AD12" t="s">
        <v>74</v>
      </c>
      <c r="AE12" t="s">
        <v>74</v>
      </c>
      <c r="AF12" t="s">
        <v>74</v>
      </c>
      <c r="AG12">
        <v>88</v>
      </c>
      <c r="AH12">
        <v>22</v>
      </c>
      <c r="AI12">
        <v>24</v>
      </c>
      <c r="AJ12">
        <v>0</v>
      </c>
      <c r="AK12">
        <v>1</v>
      </c>
      <c r="AL12" t="s">
        <v>90</v>
      </c>
      <c r="AM12" t="s">
        <v>91</v>
      </c>
      <c r="AN12" t="s">
        <v>92</v>
      </c>
      <c r="AO12" t="s">
        <v>74</v>
      </c>
      <c r="AP12" t="s">
        <v>74</v>
      </c>
      <c r="AQ12" t="s">
        <v>93</v>
      </c>
      <c r="AR12" t="s">
        <v>74</v>
      </c>
      <c r="AS12" t="s">
        <v>74</v>
      </c>
      <c r="AT12" t="s">
        <v>74</v>
      </c>
      <c r="AU12">
        <v>2003</v>
      </c>
      <c r="AV12" t="s">
        <v>74</v>
      </c>
      <c r="AW12" t="s">
        <v>74</v>
      </c>
      <c r="AX12" t="s">
        <v>74</v>
      </c>
      <c r="AY12" t="s">
        <v>74</v>
      </c>
      <c r="AZ12" t="s">
        <v>74</v>
      </c>
      <c r="BA12" t="s">
        <v>74</v>
      </c>
      <c r="BB12">
        <v>201</v>
      </c>
      <c r="BC12">
        <v>214</v>
      </c>
      <c r="BD12" t="s">
        <v>74</v>
      </c>
      <c r="BE12" t="s">
        <v>74</v>
      </c>
      <c r="BF12" t="s">
        <v>74</v>
      </c>
      <c r="BG12" t="s">
        <v>74</v>
      </c>
      <c r="BH12" t="s">
        <v>74</v>
      </c>
      <c r="BI12">
        <v>14</v>
      </c>
      <c r="BJ12" t="s">
        <v>94</v>
      </c>
      <c r="BK12" t="s">
        <v>95</v>
      </c>
      <c r="BL12" t="s">
        <v>96</v>
      </c>
      <c r="BM12" t="s">
        <v>97</v>
      </c>
      <c r="BN12" t="s">
        <v>74</v>
      </c>
      <c r="BO12" t="s">
        <v>74</v>
      </c>
      <c r="BP12" t="s">
        <v>74</v>
      </c>
      <c r="BQ12" t="s">
        <v>74</v>
      </c>
      <c r="BR12" t="s">
        <v>98</v>
      </c>
      <c r="BS12" t="s">
        <v>203</v>
      </c>
      <c r="BT12" t="str">
        <f>HYPERLINK("https%3A%2F%2Fwww.webofscience.com%2Fwos%2Fwoscc%2Ffull-record%2FWOS:000183287900032","View Full Record in Web of Science")</f>
        <v>View Full Record in Web of Science</v>
      </c>
    </row>
    <row r="13" spans="1:72" x14ac:dyDescent="0.15">
      <c r="A13" t="s">
        <v>72</v>
      </c>
      <c r="B13" t="s">
        <v>204</v>
      </c>
      <c r="C13" t="s">
        <v>74</v>
      </c>
      <c r="D13" t="s">
        <v>75</v>
      </c>
      <c r="E13" t="s">
        <v>74</v>
      </c>
      <c r="F13" t="s">
        <v>204</v>
      </c>
      <c r="G13" t="s">
        <v>74</v>
      </c>
      <c r="H13" t="s">
        <v>74</v>
      </c>
      <c r="I13" t="s">
        <v>205</v>
      </c>
      <c r="J13" t="s">
        <v>77</v>
      </c>
      <c r="K13" t="s">
        <v>74</v>
      </c>
      <c r="L13" t="s">
        <v>74</v>
      </c>
      <c r="M13" t="s">
        <v>78</v>
      </c>
      <c r="N13" t="s">
        <v>79</v>
      </c>
      <c r="O13" t="s">
        <v>80</v>
      </c>
      <c r="P13" t="s">
        <v>81</v>
      </c>
      <c r="Q13" t="s">
        <v>82</v>
      </c>
      <c r="R13" t="s">
        <v>74</v>
      </c>
      <c r="S13" t="s">
        <v>83</v>
      </c>
      <c r="T13" t="s">
        <v>206</v>
      </c>
      <c r="U13" t="s">
        <v>207</v>
      </c>
      <c r="V13" t="s">
        <v>208</v>
      </c>
      <c r="W13" t="s">
        <v>209</v>
      </c>
      <c r="X13" t="s">
        <v>210</v>
      </c>
      <c r="Y13" t="s">
        <v>211</v>
      </c>
      <c r="Z13" t="s">
        <v>212</v>
      </c>
      <c r="AA13" t="s">
        <v>213</v>
      </c>
      <c r="AB13" t="s">
        <v>74</v>
      </c>
      <c r="AC13" t="s">
        <v>74</v>
      </c>
      <c r="AD13" t="s">
        <v>74</v>
      </c>
      <c r="AE13" t="s">
        <v>74</v>
      </c>
      <c r="AF13" t="s">
        <v>74</v>
      </c>
      <c r="AG13">
        <v>46</v>
      </c>
      <c r="AH13">
        <v>8</v>
      </c>
      <c r="AI13">
        <v>8</v>
      </c>
      <c r="AJ13">
        <v>1</v>
      </c>
      <c r="AK13">
        <v>9</v>
      </c>
      <c r="AL13" t="s">
        <v>90</v>
      </c>
      <c r="AM13" t="s">
        <v>91</v>
      </c>
      <c r="AN13" t="s">
        <v>92</v>
      </c>
      <c r="AO13" t="s">
        <v>74</v>
      </c>
      <c r="AP13" t="s">
        <v>74</v>
      </c>
      <c r="AQ13" t="s">
        <v>93</v>
      </c>
      <c r="AR13" t="s">
        <v>74</v>
      </c>
      <c r="AS13" t="s">
        <v>74</v>
      </c>
      <c r="AT13" t="s">
        <v>74</v>
      </c>
      <c r="AU13">
        <v>2003</v>
      </c>
      <c r="AV13" t="s">
        <v>74</v>
      </c>
      <c r="AW13" t="s">
        <v>74</v>
      </c>
      <c r="AX13" t="s">
        <v>74</v>
      </c>
      <c r="AY13" t="s">
        <v>74</v>
      </c>
      <c r="AZ13" t="s">
        <v>74</v>
      </c>
      <c r="BA13" t="s">
        <v>74</v>
      </c>
      <c r="BB13">
        <v>215</v>
      </c>
      <c r="BC13">
        <v>223</v>
      </c>
      <c r="BD13" t="s">
        <v>74</v>
      </c>
      <c r="BE13" t="s">
        <v>74</v>
      </c>
      <c r="BF13" t="s">
        <v>74</v>
      </c>
      <c r="BG13" t="s">
        <v>74</v>
      </c>
      <c r="BH13" t="s">
        <v>74</v>
      </c>
      <c r="BI13">
        <v>9</v>
      </c>
      <c r="BJ13" t="s">
        <v>94</v>
      </c>
      <c r="BK13" t="s">
        <v>95</v>
      </c>
      <c r="BL13" t="s">
        <v>96</v>
      </c>
      <c r="BM13" t="s">
        <v>97</v>
      </c>
      <c r="BN13" t="s">
        <v>74</v>
      </c>
      <c r="BO13" t="s">
        <v>74</v>
      </c>
      <c r="BP13" t="s">
        <v>74</v>
      </c>
      <c r="BQ13" t="s">
        <v>74</v>
      </c>
      <c r="BR13" t="s">
        <v>98</v>
      </c>
      <c r="BS13" t="s">
        <v>214</v>
      </c>
      <c r="BT13" t="str">
        <f>HYPERLINK("https%3A%2F%2Fwww.webofscience.com%2Fwos%2Fwoscc%2Ffull-record%2FWOS:000183287900033","View Full Record in Web of Science")</f>
        <v>View Full Record in Web of Science</v>
      </c>
    </row>
    <row r="14" spans="1:72" x14ac:dyDescent="0.15">
      <c r="A14" t="s">
        <v>72</v>
      </c>
      <c r="B14" t="s">
        <v>215</v>
      </c>
      <c r="C14" t="s">
        <v>74</v>
      </c>
      <c r="D14" t="s">
        <v>75</v>
      </c>
      <c r="E14" t="s">
        <v>74</v>
      </c>
      <c r="F14" t="s">
        <v>215</v>
      </c>
      <c r="G14" t="s">
        <v>74</v>
      </c>
      <c r="H14" t="s">
        <v>74</v>
      </c>
      <c r="I14" t="s">
        <v>216</v>
      </c>
      <c r="J14" t="s">
        <v>77</v>
      </c>
      <c r="K14" t="s">
        <v>74</v>
      </c>
      <c r="L14" t="s">
        <v>74</v>
      </c>
      <c r="M14" t="s">
        <v>78</v>
      </c>
      <c r="N14" t="s">
        <v>79</v>
      </c>
      <c r="O14" t="s">
        <v>80</v>
      </c>
      <c r="P14" t="s">
        <v>81</v>
      </c>
      <c r="Q14" t="s">
        <v>82</v>
      </c>
      <c r="R14" t="s">
        <v>74</v>
      </c>
      <c r="S14" t="s">
        <v>83</v>
      </c>
      <c r="T14" t="s">
        <v>217</v>
      </c>
      <c r="U14" t="s">
        <v>218</v>
      </c>
      <c r="V14" t="s">
        <v>219</v>
      </c>
      <c r="W14" t="s">
        <v>220</v>
      </c>
      <c r="X14" t="s">
        <v>74</v>
      </c>
      <c r="Y14" t="s">
        <v>221</v>
      </c>
      <c r="Z14" t="s">
        <v>74</v>
      </c>
      <c r="AA14" t="s">
        <v>74</v>
      </c>
      <c r="AB14" t="s">
        <v>74</v>
      </c>
      <c r="AC14" t="s">
        <v>74</v>
      </c>
      <c r="AD14" t="s">
        <v>74</v>
      </c>
      <c r="AE14" t="s">
        <v>74</v>
      </c>
      <c r="AF14" t="s">
        <v>74</v>
      </c>
      <c r="AG14">
        <v>20</v>
      </c>
      <c r="AH14">
        <v>6</v>
      </c>
      <c r="AI14">
        <v>7</v>
      </c>
      <c r="AJ14">
        <v>0</v>
      </c>
      <c r="AK14">
        <v>18</v>
      </c>
      <c r="AL14" t="s">
        <v>90</v>
      </c>
      <c r="AM14" t="s">
        <v>91</v>
      </c>
      <c r="AN14" t="s">
        <v>92</v>
      </c>
      <c r="AO14" t="s">
        <v>74</v>
      </c>
      <c r="AP14" t="s">
        <v>74</v>
      </c>
      <c r="AQ14" t="s">
        <v>93</v>
      </c>
      <c r="AR14" t="s">
        <v>74</v>
      </c>
      <c r="AS14" t="s">
        <v>74</v>
      </c>
      <c r="AT14" t="s">
        <v>74</v>
      </c>
      <c r="AU14">
        <v>2003</v>
      </c>
      <c r="AV14" t="s">
        <v>74</v>
      </c>
      <c r="AW14" t="s">
        <v>74</v>
      </c>
      <c r="AX14" t="s">
        <v>74</v>
      </c>
      <c r="AY14" t="s">
        <v>74</v>
      </c>
      <c r="AZ14" t="s">
        <v>74</v>
      </c>
      <c r="BA14" t="s">
        <v>74</v>
      </c>
      <c r="BB14">
        <v>224</v>
      </c>
      <c r="BC14">
        <v>228</v>
      </c>
      <c r="BD14" t="s">
        <v>74</v>
      </c>
      <c r="BE14" t="s">
        <v>74</v>
      </c>
      <c r="BF14" t="s">
        <v>74</v>
      </c>
      <c r="BG14" t="s">
        <v>74</v>
      </c>
      <c r="BH14" t="s">
        <v>74</v>
      </c>
      <c r="BI14">
        <v>5</v>
      </c>
      <c r="BJ14" t="s">
        <v>94</v>
      </c>
      <c r="BK14" t="s">
        <v>95</v>
      </c>
      <c r="BL14" t="s">
        <v>96</v>
      </c>
      <c r="BM14" t="s">
        <v>97</v>
      </c>
      <c r="BN14" t="s">
        <v>74</v>
      </c>
      <c r="BO14" t="s">
        <v>74</v>
      </c>
      <c r="BP14" t="s">
        <v>74</v>
      </c>
      <c r="BQ14" t="s">
        <v>74</v>
      </c>
      <c r="BR14" t="s">
        <v>98</v>
      </c>
      <c r="BS14" t="s">
        <v>222</v>
      </c>
      <c r="BT14" t="str">
        <f>HYPERLINK("https%3A%2F%2Fwww.webofscience.com%2Fwos%2Fwoscc%2Ffull-record%2FWOS:000183287900034","View Full Record in Web of Science")</f>
        <v>View Full Record in Web of Science</v>
      </c>
    </row>
    <row r="15" spans="1:72" x14ac:dyDescent="0.15">
      <c r="A15" t="s">
        <v>72</v>
      </c>
      <c r="B15" t="s">
        <v>223</v>
      </c>
      <c r="C15" t="s">
        <v>74</v>
      </c>
      <c r="D15" t="s">
        <v>75</v>
      </c>
      <c r="E15" t="s">
        <v>74</v>
      </c>
      <c r="F15" t="s">
        <v>223</v>
      </c>
      <c r="G15" t="s">
        <v>74</v>
      </c>
      <c r="H15" t="s">
        <v>74</v>
      </c>
      <c r="I15" t="s">
        <v>224</v>
      </c>
      <c r="J15" t="s">
        <v>77</v>
      </c>
      <c r="K15" t="s">
        <v>74</v>
      </c>
      <c r="L15" t="s">
        <v>74</v>
      </c>
      <c r="M15" t="s">
        <v>78</v>
      </c>
      <c r="N15" t="s">
        <v>79</v>
      </c>
      <c r="O15" t="s">
        <v>80</v>
      </c>
      <c r="P15" t="s">
        <v>81</v>
      </c>
      <c r="Q15" t="s">
        <v>82</v>
      </c>
      <c r="R15" t="s">
        <v>74</v>
      </c>
      <c r="S15" t="s">
        <v>83</v>
      </c>
      <c r="T15" t="s">
        <v>225</v>
      </c>
      <c r="U15" t="s">
        <v>226</v>
      </c>
      <c r="V15" t="s">
        <v>227</v>
      </c>
      <c r="W15" t="s">
        <v>228</v>
      </c>
      <c r="X15" t="s">
        <v>229</v>
      </c>
      <c r="Y15" t="s">
        <v>230</v>
      </c>
      <c r="Z15" t="s">
        <v>74</v>
      </c>
      <c r="AA15" t="s">
        <v>231</v>
      </c>
      <c r="AB15" t="s">
        <v>74</v>
      </c>
      <c r="AC15" t="s">
        <v>74</v>
      </c>
      <c r="AD15" t="s">
        <v>74</v>
      </c>
      <c r="AE15" t="s">
        <v>74</v>
      </c>
      <c r="AF15" t="s">
        <v>74</v>
      </c>
      <c r="AG15">
        <v>31</v>
      </c>
      <c r="AH15">
        <v>9</v>
      </c>
      <c r="AI15">
        <v>9</v>
      </c>
      <c r="AJ15">
        <v>0</v>
      </c>
      <c r="AK15">
        <v>1</v>
      </c>
      <c r="AL15" t="s">
        <v>90</v>
      </c>
      <c r="AM15" t="s">
        <v>91</v>
      </c>
      <c r="AN15" t="s">
        <v>92</v>
      </c>
      <c r="AO15" t="s">
        <v>74</v>
      </c>
      <c r="AP15" t="s">
        <v>74</v>
      </c>
      <c r="AQ15" t="s">
        <v>93</v>
      </c>
      <c r="AR15" t="s">
        <v>74</v>
      </c>
      <c r="AS15" t="s">
        <v>74</v>
      </c>
      <c r="AT15" t="s">
        <v>74</v>
      </c>
      <c r="AU15">
        <v>2003</v>
      </c>
      <c r="AV15" t="s">
        <v>74</v>
      </c>
      <c r="AW15" t="s">
        <v>74</v>
      </c>
      <c r="AX15" t="s">
        <v>74</v>
      </c>
      <c r="AY15" t="s">
        <v>74</v>
      </c>
      <c r="AZ15" t="s">
        <v>74</v>
      </c>
      <c r="BA15" t="s">
        <v>74</v>
      </c>
      <c r="BB15">
        <v>229</v>
      </c>
      <c r="BC15">
        <v>233</v>
      </c>
      <c r="BD15" t="s">
        <v>74</v>
      </c>
      <c r="BE15" t="s">
        <v>74</v>
      </c>
      <c r="BF15" t="s">
        <v>74</v>
      </c>
      <c r="BG15" t="s">
        <v>74</v>
      </c>
      <c r="BH15" t="s">
        <v>74</v>
      </c>
      <c r="BI15">
        <v>5</v>
      </c>
      <c r="BJ15" t="s">
        <v>94</v>
      </c>
      <c r="BK15" t="s">
        <v>95</v>
      </c>
      <c r="BL15" t="s">
        <v>96</v>
      </c>
      <c r="BM15" t="s">
        <v>97</v>
      </c>
      <c r="BN15" t="s">
        <v>74</v>
      </c>
      <c r="BO15" t="s">
        <v>74</v>
      </c>
      <c r="BP15" t="s">
        <v>74</v>
      </c>
      <c r="BQ15" t="s">
        <v>74</v>
      </c>
      <c r="BR15" t="s">
        <v>98</v>
      </c>
      <c r="BS15" t="s">
        <v>232</v>
      </c>
      <c r="BT15" t="str">
        <f>HYPERLINK("https%3A%2F%2Fwww.webofscience.com%2Fwos%2Fwoscc%2Ffull-record%2FWOS:000183287900035","View Full Record in Web of Science")</f>
        <v>View Full Record in Web of Science</v>
      </c>
    </row>
    <row r="16" spans="1:72" x14ac:dyDescent="0.15">
      <c r="A16" t="s">
        <v>72</v>
      </c>
      <c r="B16" t="s">
        <v>233</v>
      </c>
      <c r="C16" t="s">
        <v>74</v>
      </c>
      <c r="D16" t="s">
        <v>75</v>
      </c>
      <c r="E16" t="s">
        <v>74</v>
      </c>
      <c r="F16" t="s">
        <v>233</v>
      </c>
      <c r="G16" t="s">
        <v>74</v>
      </c>
      <c r="H16" t="s">
        <v>74</v>
      </c>
      <c r="I16" t="s">
        <v>234</v>
      </c>
      <c r="J16" t="s">
        <v>77</v>
      </c>
      <c r="K16" t="s">
        <v>74</v>
      </c>
      <c r="L16" t="s">
        <v>74</v>
      </c>
      <c r="M16" t="s">
        <v>78</v>
      </c>
      <c r="N16" t="s">
        <v>79</v>
      </c>
      <c r="O16" t="s">
        <v>80</v>
      </c>
      <c r="P16" t="s">
        <v>81</v>
      </c>
      <c r="Q16" t="s">
        <v>82</v>
      </c>
      <c r="R16" t="s">
        <v>74</v>
      </c>
      <c r="S16" t="s">
        <v>83</v>
      </c>
      <c r="T16" t="s">
        <v>235</v>
      </c>
      <c r="U16" t="s">
        <v>236</v>
      </c>
      <c r="V16" t="s">
        <v>237</v>
      </c>
      <c r="W16" t="s">
        <v>238</v>
      </c>
      <c r="X16" t="s">
        <v>239</v>
      </c>
      <c r="Y16" t="s">
        <v>240</v>
      </c>
      <c r="Z16" t="s">
        <v>241</v>
      </c>
      <c r="AA16" t="s">
        <v>74</v>
      </c>
      <c r="AB16" t="s">
        <v>74</v>
      </c>
      <c r="AC16" t="s">
        <v>74</v>
      </c>
      <c r="AD16" t="s">
        <v>74</v>
      </c>
      <c r="AE16" t="s">
        <v>74</v>
      </c>
      <c r="AF16" t="s">
        <v>74</v>
      </c>
      <c r="AG16">
        <v>64</v>
      </c>
      <c r="AH16">
        <v>113</v>
      </c>
      <c r="AI16">
        <v>117</v>
      </c>
      <c r="AJ16">
        <v>1</v>
      </c>
      <c r="AK16">
        <v>10</v>
      </c>
      <c r="AL16" t="s">
        <v>90</v>
      </c>
      <c r="AM16" t="s">
        <v>91</v>
      </c>
      <c r="AN16" t="s">
        <v>92</v>
      </c>
      <c r="AO16" t="s">
        <v>74</v>
      </c>
      <c r="AP16" t="s">
        <v>74</v>
      </c>
      <c r="AQ16" t="s">
        <v>93</v>
      </c>
      <c r="AR16" t="s">
        <v>74</v>
      </c>
      <c r="AS16" t="s">
        <v>74</v>
      </c>
      <c r="AT16" t="s">
        <v>74</v>
      </c>
      <c r="AU16">
        <v>2003</v>
      </c>
      <c r="AV16" t="s">
        <v>74</v>
      </c>
      <c r="AW16" t="s">
        <v>74</v>
      </c>
      <c r="AX16" t="s">
        <v>74</v>
      </c>
      <c r="AY16" t="s">
        <v>74</v>
      </c>
      <c r="AZ16" t="s">
        <v>74</v>
      </c>
      <c r="BA16" t="s">
        <v>74</v>
      </c>
      <c r="BB16">
        <v>234</v>
      </c>
      <c r="BC16">
        <v>239</v>
      </c>
      <c r="BD16" t="s">
        <v>74</v>
      </c>
      <c r="BE16" t="s">
        <v>74</v>
      </c>
      <c r="BF16" t="s">
        <v>74</v>
      </c>
      <c r="BG16" t="s">
        <v>74</v>
      </c>
      <c r="BH16" t="s">
        <v>74</v>
      </c>
      <c r="BI16">
        <v>6</v>
      </c>
      <c r="BJ16" t="s">
        <v>94</v>
      </c>
      <c r="BK16" t="s">
        <v>95</v>
      </c>
      <c r="BL16" t="s">
        <v>96</v>
      </c>
      <c r="BM16" t="s">
        <v>97</v>
      </c>
      <c r="BN16" t="s">
        <v>74</v>
      </c>
      <c r="BO16" t="s">
        <v>74</v>
      </c>
      <c r="BP16" t="s">
        <v>74</v>
      </c>
      <c r="BQ16" t="s">
        <v>74</v>
      </c>
      <c r="BR16" t="s">
        <v>98</v>
      </c>
      <c r="BS16" t="s">
        <v>242</v>
      </c>
      <c r="BT16" t="str">
        <f>HYPERLINK("https%3A%2F%2Fwww.webofscience.com%2Fwos%2Fwoscc%2Ffull-record%2FWOS:000183287900036","View Full Record in Web of Science")</f>
        <v>View Full Record in Web of Science</v>
      </c>
    </row>
    <row r="17" spans="1:72" x14ac:dyDescent="0.15">
      <c r="A17" t="s">
        <v>72</v>
      </c>
      <c r="B17" t="s">
        <v>243</v>
      </c>
      <c r="C17" t="s">
        <v>74</v>
      </c>
      <c r="D17" t="s">
        <v>75</v>
      </c>
      <c r="E17" t="s">
        <v>74</v>
      </c>
      <c r="F17" t="s">
        <v>243</v>
      </c>
      <c r="G17" t="s">
        <v>74</v>
      </c>
      <c r="H17" t="s">
        <v>74</v>
      </c>
      <c r="I17" t="s">
        <v>244</v>
      </c>
      <c r="J17" t="s">
        <v>77</v>
      </c>
      <c r="K17" t="s">
        <v>74</v>
      </c>
      <c r="L17" t="s">
        <v>74</v>
      </c>
      <c r="M17" t="s">
        <v>78</v>
      </c>
      <c r="N17" t="s">
        <v>79</v>
      </c>
      <c r="O17" t="s">
        <v>80</v>
      </c>
      <c r="P17" t="s">
        <v>81</v>
      </c>
      <c r="Q17" t="s">
        <v>82</v>
      </c>
      <c r="R17" t="s">
        <v>74</v>
      </c>
      <c r="S17" t="s">
        <v>83</v>
      </c>
      <c r="T17" t="s">
        <v>245</v>
      </c>
      <c r="U17" t="s">
        <v>246</v>
      </c>
      <c r="V17" t="s">
        <v>247</v>
      </c>
      <c r="W17" t="s">
        <v>248</v>
      </c>
      <c r="X17" t="s">
        <v>249</v>
      </c>
      <c r="Y17" t="s">
        <v>250</v>
      </c>
      <c r="Z17" t="s">
        <v>251</v>
      </c>
      <c r="AA17" t="s">
        <v>74</v>
      </c>
      <c r="AB17" t="s">
        <v>74</v>
      </c>
      <c r="AC17" t="s">
        <v>74</v>
      </c>
      <c r="AD17" t="s">
        <v>74</v>
      </c>
      <c r="AE17" t="s">
        <v>74</v>
      </c>
      <c r="AF17" t="s">
        <v>74</v>
      </c>
      <c r="AG17">
        <v>30</v>
      </c>
      <c r="AH17">
        <v>1</v>
      </c>
      <c r="AI17">
        <v>2</v>
      </c>
      <c r="AJ17">
        <v>0</v>
      </c>
      <c r="AK17">
        <v>3</v>
      </c>
      <c r="AL17" t="s">
        <v>90</v>
      </c>
      <c r="AM17" t="s">
        <v>91</v>
      </c>
      <c r="AN17" t="s">
        <v>92</v>
      </c>
      <c r="AO17" t="s">
        <v>74</v>
      </c>
      <c r="AP17" t="s">
        <v>74</v>
      </c>
      <c r="AQ17" t="s">
        <v>93</v>
      </c>
      <c r="AR17" t="s">
        <v>74</v>
      </c>
      <c r="AS17" t="s">
        <v>74</v>
      </c>
      <c r="AT17" t="s">
        <v>74</v>
      </c>
      <c r="AU17">
        <v>2003</v>
      </c>
      <c r="AV17" t="s">
        <v>74</v>
      </c>
      <c r="AW17" t="s">
        <v>74</v>
      </c>
      <c r="AX17" t="s">
        <v>74</v>
      </c>
      <c r="AY17" t="s">
        <v>74</v>
      </c>
      <c r="AZ17" t="s">
        <v>74</v>
      </c>
      <c r="BA17" t="s">
        <v>74</v>
      </c>
      <c r="BB17">
        <v>240</v>
      </c>
      <c r="BC17">
        <v>243</v>
      </c>
      <c r="BD17" t="s">
        <v>74</v>
      </c>
      <c r="BE17" t="s">
        <v>74</v>
      </c>
      <c r="BF17" t="s">
        <v>74</v>
      </c>
      <c r="BG17" t="s">
        <v>74</v>
      </c>
      <c r="BH17" t="s">
        <v>74</v>
      </c>
      <c r="BI17">
        <v>4</v>
      </c>
      <c r="BJ17" t="s">
        <v>94</v>
      </c>
      <c r="BK17" t="s">
        <v>95</v>
      </c>
      <c r="BL17" t="s">
        <v>96</v>
      </c>
      <c r="BM17" t="s">
        <v>97</v>
      </c>
      <c r="BN17" t="s">
        <v>74</v>
      </c>
      <c r="BO17" t="s">
        <v>74</v>
      </c>
      <c r="BP17" t="s">
        <v>74</v>
      </c>
      <c r="BQ17" t="s">
        <v>74</v>
      </c>
      <c r="BR17" t="s">
        <v>98</v>
      </c>
      <c r="BS17" t="s">
        <v>252</v>
      </c>
      <c r="BT17" t="str">
        <f>HYPERLINK("https%3A%2F%2Fwww.webofscience.com%2Fwos%2Fwoscc%2Ffull-record%2FWOS:000183287900037","View Full Record in Web of Science")</f>
        <v>View Full Record in Web of Science</v>
      </c>
    </row>
    <row r="18" spans="1:72" x14ac:dyDescent="0.15">
      <c r="A18" t="s">
        <v>72</v>
      </c>
      <c r="B18" t="s">
        <v>253</v>
      </c>
      <c r="C18" t="s">
        <v>74</v>
      </c>
      <c r="D18" t="s">
        <v>75</v>
      </c>
      <c r="E18" t="s">
        <v>74</v>
      </c>
      <c r="F18" t="s">
        <v>253</v>
      </c>
      <c r="G18" t="s">
        <v>74</v>
      </c>
      <c r="H18" t="s">
        <v>74</v>
      </c>
      <c r="I18" t="s">
        <v>254</v>
      </c>
      <c r="J18" t="s">
        <v>77</v>
      </c>
      <c r="K18" t="s">
        <v>74</v>
      </c>
      <c r="L18" t="s">
        <v>74</v>
      </c>
      <c r="M18" t="s">
        <v>78</v>
      </c>
      <c r="N18" t="s">
        <v>79</v>
      </c>
      <c r="O18" t="s">
        <v>80</v>
      </c>
      <c r="P18" t="s">
        <v>81</v>
      </c>
      <c r="Q18" t="s">
        <v>82</v>
      </c>
      <c r="R18" t="s">
        <v>74</v>
      </c>
      <c r="S18" t="s">
        <v>83</v>
      </c>
      <c r="T18" t="s">
        <v>255</v>
      </c>
      <c r="U18" t="s">
        <v>74</v>
      </c>
      <c r="V18" t="s">
        <v>256</v>
      </c>
      <c r="W18" t="s">
        <v>257</v>
      </c>
      <c r="X18" t="s">
        <v>258</v>
      </c>
      <c r="Y18" t="s">
        <v>74</v>
      </c>
      <c r="Z18" t="s">
        <v>259</v>
      </c>
      <c r="AA18" t="s">
        <v>260</v>
      </c>
      <c r="AB18" t="s">
        <v>261</v>
      </c>
      <c r="AC18" t="s">
        <v>74</v>
      </c>
      <c r="AD18" t="s">
        <v>74</v>
      </c>
      <c r="AE18" t="s">
        <v>74</v>
      </c>
      <c r="AF18" t="s">
        <v>74</v>
      </c>
      <c r="AG18">
        <v>19</v>
      </c>
      <c r="AH18">
        <v>10</v>
      </c>
      <c r="AI18">
        <v>13</v>
      </c>
      <c r="AJ18">
        <v>0</v>
      </c>
      <c r="AK18">
        <v>6</v>
      </c>
      <c r="AL18" t="s">
        <v>90</v>
      </c>
      <c r="AM18" t="s">
        <v>91</v>
      </c>
      <c r="AN18" t="s">
        <v>92</v>
      </c>
      <c r="AO18" t="s">
        <v>74</v>
      </c>
      <c r="AP18" t="s">
        <v>74</v>
      </c>
      <c r="AQ18" t="s">
        <v>93</v>
      </c>
      <c r="AR18" t="s">
        <v>74</v>
      </c>
      <c r="AS18" t="s">
        <v>74</v>
      </c>
      <c r="AT18" t="s">
        <v>74</v>
      </c>
      <c r="AU18">
        <v>2003</v>
      </c>
      <c r="AV18" t="s">
        <v>74</v>
      </c>
      <c r="AW18" t="s">
        <v>74</v>
      </c>
      <c r="AX18" t="s">
        <v>74</v>
      </c>
      <c r="AY18" t="s">
        <v>74</v>
      </c>
      <c r="AZ18" t="s">
        <v>74</v>
      </c>
      <c r="BA18" t="s">
        <v>74</v>
      </c>
      <c r="BB18">
        <v>244</v>
      </c>
      <c r="BC18">
        <v>250</v>
      </c>
      <c r="BD18" t="s">
        <v>74</v>
      </c>
      <c r="BE18" t="s">
        <v>74</v>
      </c>
      <c r="BF18" t="s">
        <v>74</v>
      </c>
      <c r="BG18" t="s">
        <v>74</v>
      </c>
      <c r="BH18" t="s">
        <v>74</v>
      </c>
      <c r="BI18">
        <v>7</v>
      </c>
      <c r="BJ18" t="s">
        <v>94</v>
      </c>
      <c r="BK18" t="s">
        <v>95</v>
      </c>
      <c r="BL18" t="s">
        <v>96</v>
      </c>
      <c r="BM18" t="s">
        <v>97</v>
      </c>
      <c r="BN18" t="s">
        <v>74</v>
      </c>
      <c r="BO18" t="s">
        <v>74</v>
      </c>
      <c r="BP18" t="s">
        <v>74</v>
      </c>
      <c r="BQ18" t="s">
        <v>74</v>
      </c>
      <c r="BR18" t="s">
        <v>98</v>
      </c>
      <c r="BS18" t="s">
        <v>262</v>
      </c>
      <c r="BT18" t="str">
        <f>HYPERLINK("https%3A%2F%2Fwww.webofscience.com%2Fwos%2Fwoscc%2Ffull-record%2FWOS:000183287900038","View Full Record in Web of Science")</f>
        <v>View Full Record in Web of Science</v>
      </c>
    </row>
    <row r="19" spans="1:72" x14ac:dyDescent="0.15">
      <c r="A19" t="s">
        <v>72</v>
      </c>
      <c r="B19" t="s">
        <v>263</v>
      </c>
      <c r="C19" t="s">
        <v>74</v>
      </c>
      <c r="D19" t="s">
        <v>75</v>
      </c>
      <c r="E19" t="s">
        <v>74</v>
      </c>
      <c r="F19" t="s">
        <v>263</v>
      </c>
      <c r="G19" t="s">
        <v>74</v>
      </c>
      <c r="H19" t="s">
        <v>74</v>
      </c>
      <c r="I19" t="s">
        <v>264</v>
      </c>
      <c r="J19" t="s">
        <v>77</v>
      </c>
      <c r="K19" t="s">
        <v>74</v>
      </c>
      <c r="L19" t="s">
        <v>74</v>
      </c>
      <c r="M19" t="s">
        <v>78</v>
      </c>
      <c r="N19" t="s">
        <v>79</v>
      </c>
      <c r="O19" t="s">
        <v>80</v>
      </c>
      <c r="P19" t="s">
        <v>81</v>
      </c>
      <c r="Q19" t="s">
        <v>82</v>
      </c>
      <c r="R19" t="s">
        <v>74</v>
      </c>
      <c r="S19" t="s">
        <v>83</v>
      </c>
      <c r="T19" t="s">
        <v>265</v>
      </c>
      <c r="U19" t="s">
        <v>266</v>
      </c>
      <c r="V19" t="s">
        <v>267</v>
      </c>
      <c r="W19" t="s">
        <v>268</v>
      </c>
      <c r="X19" t="s">
        <v>74</v>
      </c>
      <c r="Y19" t="s">
        <v>74</v>
      </c>
      <c r="Z19" t="s">
        <v>74</v>
      </c>
      <c r="AA19" t="s">
        <v>269</v>
      </c>
      <c r="AB19" t="s">
        <v>74</v>
      </c>
      <c r="AC19" t="s">
        <v>74</v>
      </c>
      <c r="AD19" t="s">
        <v>74</v>
      </c>
      <c r="AE19" t="s">
        <v>74</v>
      </c>
      <c r="AF19" t="s">
        <v>74</v>
      </c>
      <c r="AG19">
        <v>15</v>
      </c>
      <c r="AH19">
        <v>9</v>
      </c>
      <c r="AI19">
        <v>11</v>
      </c>
      <c r="AJ19">
        <v>0</v>
      </c>
      <c r="AK19">
        <v>4</v>
      </c>
      <c r="AL19" t="s">
        <v>90</v>
      </c>
      <c r="AM19" t="s">
        <v>91</v>
      </c>
      <c r="AN19" t="s">
        <v>92</v>
      </c>
      <c r="AO19" t="s">
        <v>74</v>
      </c>
      <c r="AP19" t="s">
        <v>74</v>
      </c>
      <c r="AQ19" t="s">
        <v>93</v>
      </c>
      <c r="AR19" t="s">
        <v>74</v>
      </c>
      <c r="AS19" t="s">
        <v>74</v>
      </c>
      <c r="AT19" t="s">
        <v>74</v>
      </c>
      <c r="AU19">
        <v>2003</v>
      </c>
      <c r="AV19" t="s">
        <v>74</v>
      </c>
      <c r="AW19" t="s">
        <v>74</v>
      </c>
      <c r="AX19" t="s">
        <v>74</v>
      </c>
      <c r="AY19" t="s">
        <v>74</v>
      </c>
      <c r="AZ19" t="s">
        <v>74</v>
      </c>
      <c r="BA19" t="s">
        <v>74</v>
      </c>
      <c r="BB19">
        <v>251</v>
      </c>
      <c r="BC19">
        <v>254</v>
      </c>
      <c r="BD19" t="s">
        <v>74</v>
      </c>
      <c r="BE19" t="s">
        <v>74</v>
      </c>
      <c r="BF19" t="s">
        <v>74</v>
      </c>
      <c r="BG19" t="s">
        <v>74</v>
      </c>
      <c r="BH19" t="s">
        <v>74</v>
      </c>
      <c r="BI19">
        <v>4</v>
      </c>
      <c r="BJ19" t="s">
        <v>94</v>
      </c>
      <c r="BK19" t="s">
        <v>95</v>
      </c>
      <c r="BL19" t="s">
        <v>96</v>
      </c>
      <c r="BM19" t="s">
        <v>97</v>
      </c>
      <c r="BN19" t="s">
        <v>74</v>
      </c>
      <c r="BO19" t="s">
        <v>74</v>
      </c>
      <c r="BP19" t="s">
        <v>74</v>
      </c>
      <c r="BQ19" t="s">
        <v>74</v>
      </c>
      <c r="BR19" t="s">
        <v>98</v>
      </c>
      <c r="BS19" t="s">
        <v>270</v>
      </c>
      <c r="BT19" t="str">
        <f>HYPERLINK("https%3A%2F%2Fwww.webofscience.com%2Fwos%2Fwoscc%2Ffull-record%2FWOS:000183287900039","View Full Record in Web of Science")</f>
        <v>View Full Record in Web of Science</v>
      </c>
    </row>
    <row r="20" spans="1:72" x14ac:dyDescent="0.15">
      <c r="A20" t="s">
        <v>72</v>
      </c>
      <c r="B20" t="s">
        <v>271</v>
      </c>
      <c r="C20" t="s">
        <v>74</v>
      </c>
      <c r="D20" t="s">
        <v>75</v>
      </c>
      <c r="E20" t="s">
        <v>74</v>
      </c>
      <c r="F20" t="s">
        <v>271</v>
      </c>
      <c r="G20" t="s">
        <v>74</v>
      </c>
      <c r="H20" t="s">
        <v>74</v>
      </c>
      <c r="I20" t="s">
        <v>272</v>
      </c>
      <c r="J20" t="s">
        <v>77</v>
      </c>
      <c r="K20" t="s">
        <v>74</v>
      </c>
      <c r="L20" t="s">
        <v>74</v>
      </c>
      <c r="M20" t="s">
        <v>78</v>
      </c>
      <c r="N20" t="s">
        <v>79</v>
      </c>
      <c r="O20" t="s">
        <v>80</v>
      </c>
      <c r="P20" t="s">
        <v>81</v>
      </c>
      <c r="Q20" t="s">
        <v>82</v>
      </c>
      <c r="R20" t="s">
        <v>74</v>
      </c>
      <c r="S20" t="s">
        <v>83</v>
      </c>
      <c r="T20" t="s">
        <v>273</v>
      </c>
      <c r="U20" t="s">
        <v>74</v>
      </c>
      <c r="V20" t="s">
        <v>274</v>
      </c>
      <c r="W20" t="s">
        <v>275</v>
      </c>
      <c r="X20" t="s">
        <v>74</v>
      </c>
      <c r="Y20" t="s">
        <v>276</v>
      </c>
      <c r="Z20" t="s">
        <v>74</v>
      </c>
      <c r="AA20" t="s">
        <v>74</v>
      </c>
      <c r="AB20" t="s">
        <v>74</v>
      </c>
      <c r="AC20" t="s">
        <v>74</v>
      </c>
      <c r="AD20" t="s">
        <v>74</v>
      </c>
      <c r="AE20" t="s">
        <v>74</v>
      </c>
      <c r="AF20" t="s">
        <v>74</v>
      </c>
      <c r="AG20">
        <v>29</v>
      </c>
      <c r="AH20">
        <v>0</v>
      </c>
      <c r="AI20">
        <v>0</v>
      </c>
      <c r="AJ20">
        <v>0</v>
      </c>
      <c r="AK20">
        <v>7</v>
      </c>
      <c r="AL20" t="s">
        <v>90</v>
      </c>
      <c r="AM20" t="s">
        <v>91</v>
      </c>
      <c r="AN20" t="s">
        <v>92</v>
      </c>
      <c r="AO20" t="s">
        <v>74</v>
      </c>
      <c r="AP20" t="s">
        <v>74</v>
      </c>
      <c r="AQ20" t="s">
        <v>93</v>
      </c>
      <c r="AR20" t="s">
        <v>74</v>
      </c>
      <c r="AS20" t="s">
        <v>74</v>
      </c>
      <c r="AT20" t="s">
        <v>74</v>
      </c>
      <c r="AU20">
        <v>2003</v>
      </c>
      <c r="AV20" t="s">
        <v>74</v>
      </c>
      <c r="AW20" t="s">
        <v>74</v>
      </c>
      <c r="AX20" t="s">
        <v>74</v>
      </c>
      <c r="AY20" t="s">
        <v>74</v>
      </c>
      <c r="AZ20" t="s">
        <v>74</v>
      </c>
      <c r="BA20" t="s">
        <v>74</v>
      </c>
      <c r="BB20">
        <v>257</v>
      </c>
      <c r="BC20">
        <v>263</v>
      </c>
      <c r="BD20" t="s">
        <v>74</v>
      </c>
      <c r="BE20" t="s">
        <v>74</v>
      </c>
      <c r="BF20" t="s">
        <v>74</v>
      </c>
      <c r="BG20" t="s">
        <v>74</v>
      </c>
      <c r="BH20" t="s">
        <v>74</v>
      </c>
      <c r="BI20">
        <v>7</v>
      </c>
      <c r="BJ20" t="s">
        <v>94</v>
      </c>
      <c r="BK20" t="s">
        <v>95</v>
      </c>
      <c r="BL20" t="s">
        <v>96</v>
      </c>
      <c r="BM20" t="s">
        <v>97</v>
      </c>
      <c r="BN20" t="s">
        <v>74</v>
      </c>
      <c r="BO20" t="s">
        <v>74</v>
      </c>
      <c r="BP20" t="s">
        <v>74</v>
      </c>
      <c r="BQ20" t="s">
        <v>74</v>
      </c>
      <c r="BR20" t="s">
        <v>98</v>
      </c>
      <c r="BS20" t="s">
        <v>277</v>
      </c>
      <c r="BT20" t="str">
        <f>HYPERLINK("https%3A%2F%2Fwww.webofscience.com%2Fwos%2Fwoscc%2Ffull-record%2FWOS:000183287900040","View Full Record in Web of Science")</f>
        <v>View Full Record in Web of Science</v>
      </c>
    </row>
    <row r="21" spans="1:72" x14ac:dyDescent="0.15">
      <c r="A21" t="s">
        <v>72</v>
      </c>
      <c r="B21" t="s">
        <v>278</v>
      </c>
      <c r="C21" t="s">
        <v>74</v>
      </c>
      <c r="D21" t="s">
        <v>75</v>
      </c>
      <c r="E21" t="s">
        <v>74</v>
      </c>
      <c r="F21" t="s">
        <v>278</v>
      </c>
      <c r="G21" t="s">
        <v>74</v>
      </c>
      <c r="H21" t="s">
        <v>74</v>
      </c>
      <c r="I21" t="s">
        <v>279</v>
      </c>
      <c r="J21" t="s">
        <v>77</v>
      </c>
      <c r="K21" t="s">
        <v>74</v>
      </c>
      <c r="L21" t="s">
        <v>74</v>
      </c>
      <c r="M21" t="s">
        <v>78</v>
      </c>
      <c r="N21" t="s">
        <v>79</v>
      </c>
      <c r="O21" t="s">
        <v>80</v>
      </c>
      <c r="P21" t="s">
        <v>81</v>
      </c>
      <c r="Q21" t="s">
        <v>82</v>
      </c>
      <c r="R21" t="s">
        <v>74</v>
      </c>
      <c r="S21" t="s">
        <v>83</v>
      </c>
      <c r="T21" t="s">
        <v>280</v>
      </c>
      <c r="U21" t="s">
        <v>281</v>
      </c>
      <c r="V21" t="s">
        <v>282</v>
      </c>
      <c r="W21" t="s">
        <v>283</v>
      </c>
      <c r="X21" t="s">
        <v>74</v>
      </c>
      <c r="Y21" t="s">
        <v>284</v>
      </c>
      <c r="Z21" t="s">
        <v>74</v>
      </c>
      <c r="AA21" t="s">
        <v>74</v>
      </c>
      <c r="AB21" t="s">
        <v>74</v>
      </c>
      <c r="AC21" t="s">
        <v>74</v>
      </c>
      <c r="AD21" t="s">
        <v>74</v>
      </c>
      <c r="AE21" t="s">
        <v>74</v>
      </c>
      <c r="AF21" t="s">
        <v>74</v>
      </c>
      <c r="AG21">
        <v>17</v>
      </c>
      <c r="AH21">
        <v>4</v>
      </c>
      <c r="AI21">
        <v>5</v>
      </c>
      <c r="AJ21">
        <v>0</v>
      </c>
      <c r="AK21">
        <v>0</v>
      </c>
      <c r="AL21" t="s">
        <v>90</v>
      </c>
      <c r="AM21" t="s">
        <v>91</v>
      </c>
      <c r="AN21" t="s">
        <v>92</v>
      </c>
      <c r="AO21" t="s">
        <v>74</v>
      </c>
      <c r="AP21" t="s">
        <v>74</v>
      </c>
      <c r="AQ21" t="s">
        <v>93</v>
      </c>
      <c r="AR21" t="s">
        <v>74</v>
      </c>
      <c r="AS21" t="s">
        <v>74</v>
      </c>
      <c r="AT21" t="s">
        <v>74</v>
      </c>
      <c r="AU21">
        <v>2003</v>
      </c>
      <c r="AV21" t="s">
        <v>74</v>
      </c>
      <c r="AW21" t="s">
        <v>74</v>
      </c>
      <c r="AX21" t="s">
        <v>74</v>
      </c>
      <c r="AY21" t="s">
        <v>74</v>
      </c>
      <c r="AZ21" t="s">
        <v>74</v>
      </c>
      <c r="BA21" t="s">
        <v>74</v>
      </c>
      <c r="BB21">
        <v>264</v>
      </c>
      <c r="BC21">
        <v>270</v>
      </c>
      <c r="BD21" t="s">
        <v>74</v>
      </c>
      <c r="BE21" t="s">
        <v>74</v>
      </c>
      <c r="BF21" t="s">
        <v>74</v>
      </c>
      <c r="BG21" t="s">
        <v>74</v>
      </c>
      <c r="BH21" t="s">
        <v>74</v>
      </c>
      <c r="BI21">
        <v>7</v>
      </c>
      <c r="BJ21" t="s">
        <v>94</v>
      </c>
      <c r="BK21" t="s">
        <v>95</v>
      </c>
      <c r="BL21" t="s">
        <v>96</v>
      </c>
      <c r="BM21" t="s">
        <v>97</v>
      </c>
      <c r="BN21" t="s">
        <v>74</v>
      </c>
      <c r="BO21" t="s">
        <v>74</v>
      </c>
      <c r="BP21" t="s">
        <v>74</v>
      </c>
      <c r="BQ21" t="s">
        <v>74</v>
      </c>
      <c r="BR21" t="s">
        <v>98</v>
      </c>
      <c r="BS21" t="s">
        <v>285</v>
      </c>
      <c r="BT21" t="str">
        <f>HYPERLINK("https%3A%2F%2Fwww.webofscience.com%2Fwos%2Fwoscc%2Ffull-record%2FWOS:000183287900041","View Full Record in Web of Science")</f>
        <v>View Full Record in Web of Science</v>
      </c>
    </row>
    <row r="22" spans="1:72" x14ac:dyDescent="0.15">
      <c r="A22" t="s">
        <v>72</v>
      </c>
      <c r="B22" t="s">
        <v>286</v>
      </c>
      <c r="C22" t="s">
        <v>74</v>
      </c>
      <c r="D22" t="s">
        <v>75</v>
      </c>
      <c r="E22" t="s">
        <v>74</v>
      </c>
      <c r="F22" t="s">
        <v>286</v>
      </c>
      <c r="G22" t="s">
        <v>74</v>
      </c>
      <c r="H22" t="s">
        <v>74</v>
      </c>
      <c r="I22" t="s">
        <v>287</v>
      </c>
      <c r="J22" t="s">
        <v>77</v>
      </c>
      <c r="K22" t="s">
        <v>74</v>
      </c>
      <c r="L22" t="s">
        <v>74</v>
      </c>
      <c r="M22" t="s">
        <v>78</v>
      </c>
      <c r="N22" t="s">
        <v>79</v>
      </c>
      <c r="O22" t="s">
        <v>80</v>
      </c>
      <c r="P22" t="s">
        <v>81</v>
      </c>
      <c r="Q22" t="s">
        <v>82</v>
      </c>
      <c r="R22" t="s">
        <v>74</v>
      </c>
      <c r="S22" t="s">
        <v>83</v>
      </c>
      <c r="T22" t="s">
        <v>288</v>
      </c>
      <c r="U22" t="s">
        <v>74</v>
      </c>
      <c r="V22" t="s">
        <v>289</v>
      </c>
      <c r="W22" t="s">
        <v>290</v>
      </c>
      <c r="X22" t="s">
        <v>291</v>
      </c>
      <c r="Y22" t="s">
        <v>292</v>
      </c>
      <c r="Z22" t="s">
        <v>74</v>
      </c>
      <c r="AA22" t="s">
        <v>293</v>
      </c>
      <c r="AB22" t="s">
        <v>294</v>
      </c>
      <c r="AC22" t="s">
        <v>74</v>
      </c>
      <c r="AD22" t="s">
        <v>74</v>
      </c>
      <c r="AE22" t="s">
        <v>74</v>
      </c>
      <c r="AF22" t="s">
        <v>74</v>
      </c>
      <c r="AG22">
        <v>9</v>
      </c>
      <c r="AH22">
        <v>1</v>
      </c>
      <c r="AI22">
        <v>1</v>
      </c>
      <c r="AJ22">
        <v>0</v>
      </c>
      <c r="AK22">
        <v>4</v>
      </c>
      <c r="AL22" t="s">
        <v>90</v>
      </c>
      <c r="AM22" t="s">
        <v>91</v>
      </c>
      <c r="AN22" t="s">
        <v>92</v>
      </c>
      <c r="AO22" t="s">
        <v>74</v>
      </c>
      <c r="AP22" t="s">
        <v>74</v>
      </c>
      <c r="AQ22" t="s">
        <v>93</v>
      </c>
      <c r="AR22" t="s">
        <v>74</v>
      </c>
      <c r="AS22" t="s">
        <v>74</v>
      </c>
      <c r="AT22" t="s">
        <v>74</v>
      </c>
      <c r="AU22">
        <v>2003</v>
      </c>
      <c r="AV22" t="s">
        <v>74</v>
      </c>
      <c r="AW22" t="s">
        <v>74</v>
      </c>
      <c r="AX22" t="s">
        <v>74</v>
      </c>
      <c r="AY22" t="s">
        <v>74</v>
      </c>
      <c r="AZ22" t="s">
        <v>74</v>
      </c>
      <c r="BA22" t="s">
        <v>74</v>
      </c>
      <c r="BB22">
        <v>271</v>
      </c>
      <c r="BC22">
        <v>277</v>
      </c>
      <c r="BD22" t="s">
        <v>74</v>
      </c>
      <c r="BE22" t="s">
        <v>74</v>
      </c>
      <c r="BF22" t="s">
        <v>74</v>
      </c>
      <c r="BG22" t="s">
        <v>74</v>
      </c>
      <c r="BH22" t="s">
        <v>74</v>
      </c>
      <c r="BI22">
        <v>7</v>
      </c>
      <c r="BJ22" t="s">
        <v>94</v>
      </c>
      <c r="BK22" t="s">
        <v>95</v>
      </c>
      <c r="BL22" t="s">
        <v>96</v>
      </c>
      <c r="BM22" t="s">
        <v>97</v>
      </c>
      <c r="BN22" t="s">
        <v>74</v>
      </c>
      <c r="BO22" t="s">
        <v>74</v>
      </c>
      <c r="BP22" t="s">
        <v>74</v>
      </c>
      <c r="BQ22" t="s">
        <v>74</v>
      </c>
      <c r="BR22" t="s">
        <v>98</v>
      </c>
      <c r="BS22" t="s">
        <v>295</v>
      </c>
      <c r="BT22" t="str">
        <f>HYPERLINK("https%3A%2F%2Fwww.webofscience.com%2Fwos%2Fwoscc%2Ffull-record%2FWOS:000183287900042","View Full Record in Web of Science")</f>
        <v>View Full Record in Web of Science</v>
      </c>
    </row>
    <row r="23" spans="1:72" x14ac:dyDescent="0.15">
      <c r="A23" t="s">
        <v>72</v>
      </c>
      <c r="B23" t="s">
        <v>296</v>
      </c>
      <c r="C23" t="s">
        <v>74</v>
      </c>
      <c r="D23" t="s">
        <v>75</v>
      </c>
      <c r="E23" t="s">
        <v>74</v>
      </c>
      <c r="F23" t="s">
        <v>296</v>
      </c>
      <c r="G23" t="s">
        <v>74</v>
      </c>
      <c r="H23" t="s">
        <v>74</v>
      </c>
      <c r="I23" t="s">
        <v>297</v>
      </c>
      <c r="J23" t="s">
        <v>77</v>
      </c>
      <c r="K23" t="s">
        <v>74</v>
      </c>
      <c r="L23" t="s">
        <v>74</v>
      </c>
      <c r="M23" t="s">
        <v>78</v>
      </c>
      <c r="N23" t="s">
        <v>79</v>
      </c>
      <c r="O23" t="s">
        <v>80</v>
      </c>
      <c r="P23" t="s">
        <v>81</v>
      </c>
      <c r="Q23" t="s">
        <v>82</v>
      </c>
      <c r="R23" t="s">
        <v>74</v>
      </c>
      <c r="S23" t="s">
        <v>83</v>
      </c>
      <c r="T23" t="s">
        <v>298</v>
      </c>
      <c r="U23" t="s">
        <v>299</v>
      </c>
      <c r="V23" t="s">
        <v>300</v>
      </c>
      <c r="W23" t="s">
        <v>301</v>
      </c>
      <c r="X23" t="s">
        <v>302</v>
      </c>
      <c r="Y23" t="s">
        <v>303</v>
      </c>
      <c r="Z23" t="s">
        <v>304</v>
      </c>
      <c r="AA23" t="s">
        <v>305</v>
      </c>
      <c r="AB23" t="s">
        <v>306</v>
      </c>
      <c r="AC23" t="s">
        <v>74</v>
      </c>
      <c r="AD23" t="s">
        <v>74</v>
      </c>
      <c r="AE23" t="s">
        <v>74</v>
      </c>
      <c r="AF23" t="s">
        <v>74</v>
      </c>
      <c r="AG23">
        <v>17</v>
      </c>
      <c r="AH23">
        <v>3</v>
      </c>
      <c r="AI23">
        <v>4</v>
      </c>
      <c r="AJ23">
        <v>0</v>
      </c>
      <c r="AK23">
        <v>7</v>
      </c>
      <c r="AL23" t="s">
        <v>90</v>
      </c>
      <c r="AM23" t="s">
        <v>91</v>
      </c>
      <c r="AN23" t="s">
        <v>92</v>
      </c>
      <c r="AO23" t="s">
        <v>74</v>
      </c>
      <c r="AP23" t="s">
        <v>74</v>
      </c>
      <c r="AQ23" t="s">
        <v>93</v>
      </c>
      <c r="AR23" t="s">
        <v>74</v>
      </c>
      <c r="AS23" t="s">
        <v>74</v>
      </c>
      <c r="AT23" t="s">
        <v>74</v>
      </c>
      <c r="AU23">
        <v>2003</v>
      </c>
      <c r="AV23" t="s">
        <v>74</v>
      </c>
      <c r="AW23" t="s">
        <v>74</v>
      </c>
      <c r="AX23" t="s">
        <v>74</v>
      </c>
      <c r="AY23" t="s">
        <v>74</v>
      </c>
      <c r="AZ23" t="s">
        <v>74</v>
      </c>
      <c r="BA23" t="s">
        <v>74</v>
      </c>
      <c r="BB23">
        <v>278</v>
      </c>
      <c r="BC23">
        <v>284</v>
      </c>
      <c r="BD23" t="s">
        <v>74</v>
      </c>
      <c r="BE23" t="s">
        <v>74</v>
      </c>
      <c r="BF23" t="s">
        <v>74</v>
      </c>
      <c r="BG23" t="s">
        <v>74</v>
      </c>
      <c r="BH23" t="s">
        <v>74</v>
      </c>
      <c r="BI23">
        <v>7</v>
      </c>
      <c r="BJ23" t="s">
        <v>94</v>
      </c>
      <c r="BK23" t="s">
        <v>95</v>
      </c>
      <c r="BL23" t="s">
        <v>96</v>
      </c>
      <c r="BM23" t="s">
        <v>97</v>
      </c>
      <c r="BN23" t="s">
        <v>74</v>
      </c>
      <c r="BO23" t="s">
        <v>74</v>
      </c>
      <c r="BP23" t="s">
        <v>74</v>
      </c>
      <c r="BQ23" t="s">
        <v>74</v>
      </c>
      <c r="BR23" t="s">
        <v>98</v>
      </c>
      <c r="BS23" t="s">
        <v>307</v>
      </c>
      <c r="BT23" t="str">
        <f>HYPERLINK("https%3A%2F%2Fwww.webofscience.com%2Fwos%2Fwoscc%2Ffull-record%2FWOS:000183287900043","View Full Record in Web of Science")</f>
        <v>View Full Record in Web of Science</v>
      </c>
    </row>
    <row r="24" spans="1:72" x14ac:dyDescent="0.15">
      <c r="A24" t="s">
        <v>72</v>
      </c>
      <c r="B24" t="s">
        <v>308</v>
      </c>
      <c r="C24" t="s">
        <v>74</v>
      </c>
      <c r="D24" t="s">
        <v>75</v>
      </c>
      <c r="E24" t="s">
        <v>74</v>
      </c>
      <c r="F24" t="s">
        <v>308</v>
      </c>
      <c r="G24" t="s">
        <v>74</v>
      </c>
      <c r="H24" t="s">
        <v>74</v>
      </c>
      <c r="I24" t="s">
        <v>309</v>
      </c>
      <c r="J24" t="s">
        <v>77</v>
      </c>
      <c r="K24" t="s">
        <v>74</v>
      </c>
      <c r="L24" t="s">
        <v>74</v>
      </c>
      <c r="M24" t="s">
        <v>78</v>
      </c>
      <c r="N24" t="s">
        <v>79</v>
      </c>
      <c r="O24" t="s">
        <v>80</v>
      </c>
      <c r="P24" t="s">
        <v>81</v>
      </c>
      <c r="Q24" t="s">
        <v>82</v>
      </c>
      <c r="R24" t="s">
        <v>74</v>
      </c>
      <c r="S24" t="s">
        <v>83</v>
      </c>
      <c r="T24" t="s">
        <v>310</v>
      </c>
      <c r="U24" t="s">
        <v>311</v>
      </c>
      <c r="V24" t="s">
        <v>312</v>
      </c>
      <c r="W24" t="s">
        <v>301</v>
      </c>
      <c r="X24" t="s">
        <v>302</v>
      </c>
      <c r="Y24" t="s">
        <v>313</v>
      </c>
      <c r="Z24" t="s">
        <v>74</v>
      </c>
      <c r="AA24" t="s">
        <v>314</v>
      </c>
      <c r="AB24" t="s">
        <v>315</v>
      </c>
      <c r="AC24" t="s">
        <v>74</v>
      </c>
      <c r="AD24" t="s">
        <v>74</v>
      </c>
      <c r="AE24" t="s">
        <v>74</v>
      </c>
      <c r="AF24" t="s">
        <v>74</v>
      </c>
      <c r="AG24">
        <v>20</v>
      </c>
      <c r="AH24">
        <v>9</v>
      </c>
      <c r="AI24">
        <v>9</v>
      </c>
      <c r="AJ24">
        <v>0</v>
      </c>
      <c r="AK24">
        <v>1</v>
      </c>
      <c r="AL24" t="s">
        <v>90</v>
      </c>
      <c r="AM24" t="s">
        <v>91</v>
      </c>
      <c r="AN24" t="s">
        <v>92</v>
      </c>
      <c r="AO24" t="s">
        <v>74</v>
      </c>
      <c r="AP24" t="s">
        <v>74</v>
      </c>
      <c r="AQ24" t="s">
        <v>93</v>
      </c>
      <c r="AR24" t="s">
        <v>74</v>
      </c>
      <c r="AS24" t="s">
        <v>74</v>
      </c>
      <c r="AT24" t="s">
        <v>74</v>
      </c>
      <c r="AU24">
        <v>2003</v>
      </c>
      <c r="AV24" t="s">
        <v>74</v>
      </c>
      <c r="AW24" t="s">
        <v>74</v>
      </c>
      <c r="AX24" t="s">
        <v>74</v>
      </c>
      <c r="AY24" t="s">
        <v>74</v>
      </c>
      <c r="AZ24" t="s">
        <v>74</v>
      </c>
      <c r="BA24" t="s">
        <v>74</v>
      </c>
      <c r="BB24">
        <v>285</v>
      </c>
      <c r="BC24">
        <v>289</v>
      </c>
      <c r="BD24" t="s">
        <v>74</v>
      </c>
      <c r="BE24" t="s">
        <v>74</v>
      </c>
      <c r="BF24" t="s">
        <v>74</v>
      </c>
      <c r="BG24" t="s">
        <v>74</v>
      </c>
      <c r="BH24" t="s">
        <v>74</v>
      </c>
      <c r="BI24">
        <v>5</v>
      </c>
      <c r="BJ24" t="s">
        <v>94</v>
      </c>
      <c r="BK24" t="s">
        <v>95</v>
      </c>
      <c r="BL24" t="s">
        <v>96</v>
      </c>
      <c r="BM24" t="s">
        <v>97</v>
      </c>
      <c r="BN24" t="s">
        <v>74</v>
      </c>
      <c r="BO24" t="s">
        <v>74</v>
      </c>
      <c r="BP24" t="s">
        <v>74</v>
      </c>
      <c r="BQ24" t="s">
        <v>74</v>
      </c>
      <c r="BR24" t="s">
        <v>98</v>
      </c>
      <c r="BS24" t="s">
        <v>316</v>
      </c>
      <c r="BT24" t="str">
        <f>HYPERLINK("https%3A%2F%2Fwww.webofscience.com%2Fwos%2Fwoscc%2Ffull-record%2FWOS:000183287900044","View Full Record in Web of Science")</f>
        <v>View Full Record in Web of Science</v>
      </c>
    </row>
    <row r="25" spans="1:72" x14ac:dyDescent="0.15">
      <c r="A25" t="s">
        <v>72</v>
      </c>
      <c r="B25" t="s">
        <v>317</v>
      </c>
      <c r="C25" t="s">
        <v>74</v>
      </c>
      <c r="D25" t="s">
        <v>75</v>
      </c>
      <c r="E25" t="s">
        <v>74</v>
      </c>
      <c r="F25" t="s">
        <v>317</v>
      </c>
      <c r="G25" t="s">
        <v>74</v>
      </c>
      <c r="H25" t="s">
        <v>74</v>
      </c>
      <c r="I25" t="s">
        <v>318</v>
      </c>
      <c r="J25" t="s">
        <v>77</v>
      </c>
      <c r="K25" t="s">
        <v>74</v>
      </c>
      <c r="L25" t="s">
        <v>74</v>
      </c>
      <c r="M25" t="s">
        <v>78</v>
      </c>
      <c r="N25" t="s">
        <v>79</v>
      </c>
      <c r="O25" t="s">
        <v>80</v>
      </c>
      <c r="P25" t="s">
        <v>81</v>
      </c>
      <c r="Q25" t="s">
        <v>82</v>
      </c>
      <c r="R25" t="s">
        <v>74</v>
      </c>
      <c r="S25" t="s">
        <v>83</v>
      </c>
      <c r="T25" t="s">
        <v>319</v>
      </c>
      <c r="U25" t="s">
        <v>74</v>
      </c>
      <c r="V25" t="s">
        <v>320</v>
      </c>
      <c r="W25" t="s">
        <v>301</v>
      </c>
      <c r="X25" t="s">
        <v>302</v>
      </c>
      <c r="Y25" t="s">
        <v>321</v>
      </c>
      <c r="Z25" t="s">
        <v>74</v>
      </c>
      <c r="AA25" t="s">
        <v>74</v>
      </c>
      <c r="AB25" t="s">
        <v>74</v>
      </c>
      <c r="AC25" t="s">
        <v>74</v>
      </c>
      <c r="AD25" t="s">
        <v>74</v>
      </c>
      <c r="AE25" t="s">
        <v>74</v>
      </c>
      <c r="AF25" t="s">
        <v>74</v>
      </c>
      <c r="AG25">
        <v>18</v>
      </c>
      <c r="AH25">
        <v>12</v>
      </c>
      <c r="AI25">
        <v>14</v>
      </c>
      <c r="AJ25">
        <v>0</v>
      </c>
      <c r="AK25">
        <v>9</v>
      </c>
      <c r="AL25" t="s">
        <v>90</v>
      </c>
      <c r="AM25" t="s">
        <v>91</v>
      </c>
      <c r="AN25" t="s">
        <v>92</v>
      </c>
      <c r="AO25" t="s">
        <v>74</v>
      </c>
      <c r="AP25" t="s">
        <v>74</v>
      </c>
      <c r="AQ25" t="s">
        <v>93</v>
      </c>
      <c r="AR25" t="s">
        <v>74</v>
      </c>
      <c r="AS25" t="s">
        <v>74</v>
      </c>
      <c r="AT25" t="s">
        <v>74</v>
      </c>
      <c r="AU25">
        <v>2003</v>
      </c>
      <c r="AV25" t="s">
        <v>74</v>
      </c>
      <c r="AW25" t="s">
        <v>74</v>
      </c>
      <c r="AX25" t="s">
        <v>74</v>
      </c>
      <c r="AY25" t="s">
        <v>74</v>
      </c>
      <c r="AZ25" t="s">
        <v>74</v>
      </c>
      <c r="BA25" t="s">
        <v>74</v>
      </c>
      <c r="BB25">
        <v>290</v>
      </c>
      <c r="BC25">
        <v>295</v>
      </c>
      <c r="BD25" t="s">
        <v>74</v>
      </c>
      <c r="BE25" t="s">
        <v>74</v>
      </c>
      <c r="BF25" t="s">
        <v>74</v>
      </c>
      <c r="BG25" t="s">
        <v>74</v>
      </c>
      <c r="BH25" t="s">
        <v>74</v>
      </c>
      <c r="BI25">
        <v>6</v>
      </c>
      <c r="BJ25" t="s">
        <v>94</v>
      </c>
      <c r="BK25" t="s">
        <v>95</v>
      </c>
      <c r="BL25" t="s">
        <v>96</v>
      </c>
      <c r="BM25" t="s">
        <v>97</v>
      </c>
      <c r="BN25" t="s">
        <v>74</v>
      </c>
      <c r="BO25" t="s">
        <v>74</v>
      </c>
      <c r="BP25" t="s">
        <v>74</v>
      </c>
      <c r="BQ25" t="s">
        <v>74</v>
      </c>
      <c r="BR25" t="s">
        <v>98</v>
      </c>
      <c r="BS25" t="s">
        <v>322</v>
      </c>
      <c r="BT25" t="str">
        <f>HYPERLINK("https%3A%2F%2Fwww.webofscience.com%2Fwos%2Fwoscc%2Ffull-record%2FWOS:000183287900045","View Full Record in Web of Science")</f>
        <v>View Full Record in Web of Science</v>
      </c>
    </row>
    <row r="26" spans="1:72" x14ac:dyDescent="0.15">
      <c r="A26" t="s">
        <v>72</v>
      </c>
      <c r="B26" t="s">
        <v>323</v>
      </c>
      <c r="C26" t="s">
        <v>74</v>
      </c>
      <c r="D26" t="s">
        <v>75</v>
      </c>
      <c r="E26" t="s">
        <v>74</v>
      </c>
      <c r="F26" t="s">
        <v>323</v>
      </c>
      <c r="G26" t="s">
        <v>74</v>
      </c>
      <c r="H26" t="s">
        <v>74</v>
      </c>
      <c r="I26" t="s">
        <v>324</v>
      </c>
      <c r="J26" t="s">
        <v>77</v>
      </c>
      <c r="K26" t="s">
        <v>74</v>
      </c>
      <c r="L26" t="s">
        <v>74</v>
      </c>
      <c r="M26" t="s">
        <v>78</v>
      </c>
      <c r="N26" t="s">
        <v>79</v>
      </c>
      <c r="O26" t="s">
        <v>80</v>
      </c>
      <c r="P26" t="s">
        <v>81</v>
      </c>
      <c r="Q26" t="s">
        <v>82</v>
      </c>
      <c r="R26" t="s">
        <v>74</v>
      </c>
      <c r="S26" t="s">
        <v>83</v>
      </c>
      <c r="T26" t="s">
        <v>325</v>
      </c>
      <c r="U26" t="s">
        <v>326</v>
      </c>
      <c r="V26" t="s">
        <v>327</v>
      </c>
      <c r="W26" t="s">
        <v>328</v>
      </c>
      <c r="X26" t="s">
        <v>129</v>
      </c>
      <c r="Y26" t="s">
        <v>329</v>
      </c>
      <c r="Z26" t="s">
        <v>330</v>
      </c>
      <c r="AA26" t="s">
        <v>331</v>
      </c>
      <c r="AB26" t="s">
        <v>332</v>
      </c>
      <c r="AC26" t="s">
        <v>74</v>
      </c>
      <c r="AD26" t="s">
        <v>74</v>
      </c>
      <c r="AE26" t="s">
        <v>74</v>
      </c>
      <c r="AF26" t="s">
        <v>74</v>
      </c>
      <c r="AG26">
        <v>25</v>
      </c>
      <c r="AH26">
        <v>2</v>
      </c>
      <c r="AI26">
        <v>2</v>
      </c>
      <c r="AJ26">
        <v>0</v>
      </c>
      <c r="AK26">
        <v>6</v>
      </c>
      <c r="AL26" t="s">
        <v>90</v>
      </c>
      <c r="AM26" t="s">
        <v>91</v>
      </c>
      <c r="AN26" t="s">
        <v>92</v>
      </c>
      <c r="AO26" t="s">
        <v>74</v>
      </c>
      <c r="AP26" t="s">
        <v>74</v>
      </c>
      <c r="AQ26" t="s">
        <v>93</v>
      </c>
      <c r="AR26" t="s">
        <v>74</v>
      </c>
      <c r="AS26" t="s">
        <v>74</v>
      </c>
      <c r="AT26" t="s">
        <v>74</v>
      </c>
      <c r="AU26">
        <v>2003</v>
      </c>
      <c r="AV26" t="s">
        <v>74</v>
      </c>
      <c r="AW26" t="s">
        <v>74</v>
      </c>
      <c r="AX26" t="s">
        <v>74</v>
      </c>
      <c r="AY26" t="s">
        <v>74</v>
      </c>
      <c r="AZ26" t="s">
        <v>74</v>
      </c>
      <c r="BA26" t="s">
        <v>74</v>
      </c>
      <c r="BB26">
        <v>296</v>
      </c>
      <c r="BC26">
        <v>300</v>
      </c>
      <c r="BD26" t="s">
        <v>74</v>
      </c>
      <c r="BE26" t="s">
        <v>74</v>
      </c>
      <c r="BF26" t="s">
        <v>74</v>
      </c>
      <c r="BG26" t="s">
        <v>74</v>
      </c>
      <c r="BH26" t="s">
        <v>74</v>
      </c>
      <c r="BI26">
        <v>5</v>
      </c>
      <c r="BJ26" t="s">
        <v>94</v>
      </c>
      <c r="BK26" t="s">
        <v>95</v>
      </c>
      <c r="BL26" t="s">
        <v>96</v>
      </c>
      <c r="BM26" t="s">
        <v>97</v>
      </c>
      <c r="BN26" t="s">
        <v>74</v>
      </c>
      <c r="BO26" t="s">
        <v>74</v>
      </c>
      <c r="BP26" t="s">
        <v>74</v>
      </c>
      <c r="BQ26" t="s">
        <v>74</v>
      </c>
      <c r="BR26" t="s">
        <v>98</v>
      </c>
      <c r="BS26" t="s">
        <v>333</v>
      </c>
      <c r="BT26" t="str">
        <f>HYPERLINK("https%3A%2F%2Fwww.webofscience.com%2Fwos%2Fwoscc%2Ffull-record%2FWOS:000183287900046","View Full Record in Web of Science")</f>
        <v>View Full Record in Web of Science</v>
      </c>
    </row>
    <row r="27" spans="1:72" x14ac:dyDescent="0.15">
      <c r="A27" t="s">
        <v>72</v>
      </c>
      <c r="B27" t="s">
        <v>334</v>
      </c>
      <c r="C27" t="s">
        <v>74</v>
      </c>
      <c r="D27" t="s">
        <v>75</v>
      </c>
      <c r="E27" t="s">
        <v>74</v>
      </c>
      <c r="F27" t="s">
        <v>334</v>
      </c>
      <c r="G27" t="s">
        <v>74</v>
      </c>
      <c r="H27" t="s">
        <v>74</v>
      </c>
      <c r="I27" t="s">
        <v>335</v>
      </c>
      <c r="J27" t="s">
        <v>77</v>
      </c>
      <c r="K27" t="s">
        <v>74</v>
      </c>
      <c r="L27" t="s">
        <v>74</v>
      </c>
      <c r="M27" t="s">
        <v>78</v>
      </c>
      <c r="N27" t="s">
        <v>79</v>
      </c>
      <c r="O27" t="s">
        <v>80</v>
      </c>
      <c r="P27" t="s">
        <v>81</v>
      </c>
      <c r="Q27" t="s">
        <v>82</v>
      </c>
      <c r="R27" t="s">
        <v>74</v>
      </c>
      <c r="S27" t="s">
        <v>83</v>
      </c>
      <c r="T27" t="s">
        <v>336</v>
      </c>
      <c r="U27" t="s">
        <v>337</v>
      </c>
      <c r="V27" t="s">
        <v>338</v>
      </c>
      <c r="W27" t="s">
        <v>339</v>
      </c>
      <c r="X27" t="s">
        <v>74</v>
      </c>
      <c r="Y27" t="s">
        <v>340</v>
      </c>
      <c r="Z27" t="s">
        <v>74</v>
      </c>
      <c r="AA27" t="s">
        <v>74</v>
      </c>
      <c r="AB27" t="s">
        <v>74</v>
      </c>
      <c r="AC27" t="s">
        <v>74</v>
      </c>
      <c r="AD27" t="s">
        <v>74</v>
      </c>
      <c r="AE27" t="s">
        <v>74</v>
      </c>
      <c r="AF27" t="s">
        <v>74</v>
      </c>
      <c r="AG27">
        <v>25</v>
      </c>
      <c r="AH27">
        <v>34</v>
      </c>
      <c r="AI27">
        <v>37</v>
      </c>
      <c r="AJ27">
        <v>0</v>
      </c>
      <c r="AK27">
        <v>17</v>
      </c>
      <c r="AL27" t="s">
        <v>90</v>
      </c>
      <c r="AM27" t="s">
        <v>91</v>
      </c>
      <c r="AN27" t="s">
        <v>92</v>
      </c>
      <c r="AO27" t="s">
        <v>74</v>
      </c>
      <c r="AP27" t="s">
        <v>74</v>
      </c>
      <c r="AQ27" t="s">
        <v>93</v>
      </c>
      <c r="AR27" t="s">
        <v>74</v>
      </c>
      <c r="AS27" t="s">
        <v>74</v>
      </c>
      <c r="AT27" t="s">
        <v>74</v>
      </c>
      <c r="AU27">
        <v>2003</v>
      </c>
      <c r="AV27" t="s">
        <v>74</v>
      </c>
      <c r="AW27" t="s">
        <v>74</v>
      </c>
      <c r="AX27" t="s">
        <v>74</v>
      </c>
      <c r="AY27" t="s">
        <v>74</v>
      </c>
      <c r="AZ27" t="s">
        <v>74</v>
      </c>
      <c r="BA27" t="s">
        <v>74</v>
      </c>
      <c r="BB27">
        <v>301</v>
      </c>
      <c r="BC27">
        <v>307</v>
      </c>
      <c r="BD27" t="s">
        <v>74</v>
      </c>
      <c r="BE27" t="s">
        <v>74</v>
      </c>
      <c r="BF27" t="s">
        <v>74</v>
      </c>
      <c r="BG27" t="s">
        <v>74</v>
      </c>
      <c r="BH27" t="s">
        <v>74</v>
      </c>
      <c r="BI27">
        <v>7</v>
      </c>
      <c r="BJ27" t="s">
        <v>94</v>
      </c>
      <c r="BK27" t="s">
        <v>95</v>
      </c>
      <c r="BL27" t="s">
        <v>96</v>
      </c>
      <c r="BM27" t="s">
        <v>97</v>
      </c>
      <c r="BN27" t="s">
        <v>74</v>
      </c>
      <c r="BO27" t="s">
        <v>74</v>
      </c>
      <c r="BP27" t="s">
        <v>74</v>
      </c>
      <c r="BQ27" t="s">
        <v>74</v>
      </c>
      <c r="BR27" t="s">
        <v>98</v>
      </c>
      <c r="BS27" t="s">
        <v>341</v>
      </c>
      <c r="BT27" t="str">
        <f>HYPERLINK("https%3A%2F%2Fwww.webofscience.com%2Fwos%2Fwoscc%2Ffull-record%2FWOS:000183287900047","View Full Record in Web of Science")</f>
        <v>View Full Record in Web of Science</v>
      </c>
    </row>
    <row r="28" spans="1:72" x14ac:dyDescent="0.15">
      <c r="A28" t="s">
        <v>72</v>
      </c>
      <c r="B28" t="s">
        <v>342</v>
      </c>
      <c r="C28" t="s">
        <v>74</v>
      </c>
      <c r="D28" t="s">
        <v>75</v>
      </c>
      <c r="E28" t="s">
        <v>74</v>
      </c>
      <c r="F28" t="s">
        <v>342</v>
      </c>
      <c r="G28" t="s">
        <v>74</v>
      </c>
      <c r="H28" t="s">
        <v>74</v>
      </c>
      <c r="I28" t="s">
        <v>343</v>
      </c>
      <c r="J28" t="s">
        <v>77</v>
      </c>
      <c r="K28" t="s">
        <v>74</v>
      </c>
      <c r="L28" t="s">
        <v>74</v>
      </c>
      <c r="M28" t="s">
        <v>78</v>
      </c>
      <c r="N28" t="s">
        <v>79</v>
      </c>
      <c r="O28" t="s">
        <v>80</v>
      </c>
      <c r="P28" t="s">
        <v>81</v>
      </c>
      <c r="Q28" t="s">
        <v>82</v>
      </c>
      <c r="R28" t="s">
        <v>74</v>
      </c>
      <c r="S28" t="s">
        <v>83</v>
      </c>
      <c r="T28" t="s">
        <v>344</v>
      </c>
      <c r="U28" t="s">
        <v>74</v>
      </c>
      <c r="V28" t="s">
        <v>345</v>
      </c>
      <c r="W28" t="s">
        <v>346</v>
      </c>
      <c r="X28" t="s">
        <v>347</v>
      </c>
      <c r="Y28" t="s">
        <v>74</v>
      </c>
      <c r="Z28" t="s">
        <v>348</v>
      </c>
      <c r="AA28" t="s">
        <v>349</v>
      </c>
      <c r="AB28" t="s">
        <v>350</v>
      </c>
      <c r="AC28" t="s">
        <v>74</v>
      </c>
      <c r="AD28" t="s">
        <v>74</v>
      </c>
      <c r="AE28" t="s">
        <v>74</v>
      </c>
      <c r="AF28" t="s">
        <v>74</v>
      </c>
      <c r="AG28">
        <v>22</v>
      </c>
      <c r="AH28">
        <v>8</v>
      </c>
      <c r="AI28">
        <v>8</v>
      </c>
      <c r="AJ28">
        <v>1</v>
      </c>
      <c r="AK28">
        <v>4</v>
      </c>
      <c r="AL28" t="s">
        <v>90</v>
      </c>
      <c r="AM28" t="s">
        <v>91</v>
      </c>
      <c r="AN28" t="s">
        <v>92</v>
      </c>
      <c r="AO28" t="s">
        <v>74</v>
      </c>
      <c r="AP28" t="s">
        <v>74</v>
      </c>
      <c r="AQ28" t="s">
        <v>93</v>
      </c>
      <c r="AR28" t="s">
        <v>74</v>
      </c>
      <c r="AS28" t="s">
        <v>74</v>
      </c>
      <c r="AT28" t="s">
        <v>74</v>
      </c>
      <c r="AU28">
        <v>2003</v>
      </c>
      <c r="AV28" t="s">
        <v>74</v>
      </c>
      <c r="AW28" t="s">
        <v>74</v>
      </c>
      <c r="AX28" t="s">
        <v>74</v>
      </c>
      <c r="AY28" t="s">
        <v>74</v>
      </c>
      <c r="AZ28" t="s">
        <v>74</v>
      </c>
      <c r="BA28" t="s">
        <v>74</v>
      </c>
      <c r="BB28">
        <v>308</v>
      </c>
      <c r="BC28">
        <v>312</v>
      </c>
      <c r="BD28" t="s">
        <v>74</v>
      </c>
      <c r="BE28" t="s">
        <v>74</v>
      </c>
      <c r="BF28" t="s">
        <v>74</v>
      </c>
      <c r="BG28" t="s">
        <v>74</v>
      </c>
      <c r="BH28" t="s">
        <v>74</v>
      </c>
      <c r="BI28">
        <v>5</v>
      </c>
      <c r="BJ28" t="s">
        <v>94</v>
      </c>
      <c r="BK28" t="s">
        <v>95</v>
      </c>
      <c r="BL28" t="s">
        <v>96</v>
      </c>
      <c r="BM28" t="s">
        <v>97</v>
      </c>
      <c r="BN28" t="s">
        <v>74</v>
      </c>
      <c r="BO28" t="s">
        <v>74</v>
      </c>
      <c r="BP28" t="s">
        <v>74</v>
      </c>
      <c r="BQ28" t="s">
        <v>74</v>
      </c>
      <c r="BR28" t="s">
        <v>98</v>
      </c>
      <c r="BS28" t="s">
        <v>351</v>
      </c>
      <c r="BT28" t="str">
        <f>HYPERLINK("https%3A%2F%2Fwww.webofscience.com%2Fwos%2Fwoscc%2Ffull-record%2FWOS:000183287900048","View Full Record in Web of Science")</f>
        <v>View Full Record in Web of Science</v>
      </c>
    </row>
    <row r="29" spans="1:72" x14ac:dyDescent="0.15">
      <c r="A29" t="s">
        <v>72</v>
      </c>
      <c r="B29" t="s">
        <v>352</v>
      </c>
      <c r="C29" t="s">
        <v>74</v>
      </c>
      <c r="D29" t="s">
        <v>75</v>
      </c>
      <c r="E29" t="s">
        <v>74</v>
      </c>
      <c r="F29" t="s">
        <v>352</v>
      </c>
      <c r="G29" t="s">
        <v>74</v>
      </c>
      <c r="H29" t="s">
        <v>74</v>
      </c>
      <c r="I29" t="s">
        <v>353</v>
      </c>
      <c r="J29" t="s">
        <v>77</v>
      </c>
      <c r="K29" t="s">
        <v>74</v>
      </c>
      <c r="L29" t="s">
        <v>74</v>
      </c>
      <c r="M29" t="s">
        <v>78</v>
      </c>
      <c r="N29" t="s">
        <v>79</v>
      </c>
      <c r="O29" t="s">
        <v>80</v>
      </c>
      <c r="P29" t="s">
        <v>81</v>
      </c>
      <c r="Q29" t="s">
        <v>82</v>
      </c>
      <c r="R29" t="s">
        <v>74</v>
      </c>
      <c r="S29" t="s">
        <v>83</v>
      </c>
      <c r="T29" t="s">
        <v>354</v>
      </c>
      <c r="U29" t="s">
        <v>355</v>
      </c>
      <c r="V29" t="s">
        <v>356</v>
      </c>
      <c r="W29" t="s">
        <v>357</v>
      </c>
      <c r="X29" t="s">
        <v>358</v>
      </c>
      <c r="Y29" t="s">
        <v>359</v>
      </c>
      <c r="Z29" t="s">
        <v>360</v>
      </c>
      <c r="AA29" t="s">
        <v>74</v>
      </c>
      <c r="AB29" t="s">
        <v>74</v>
      </c>
      <c r="AC29" t="s">
        <v>74</v>
      </c>
      <c r="AD29" t="s">
        <v>74</v>
      </c>
      <c r="AE29" t="s">
        <v>74</v>
      </c>
      <c r="AF29" t="s">
        <v>74</v>
      </c>
      <c r="AG29">
        <v>18</v>
      </c>
      <c r="AH29">
        <v>10</v>
      </c>
      <c r="AI29">
        <v>11</v>
      </c>
      <c r="AJ29">
        <v>0</v>
      </c>
      <c r="AK29">
        <v>3</v>
      </c>
      <c r="AL29" t="s">
        <v>90</v>
      </c>
      <c r="AM29" t="s">
        <v>91</v>
      </c>
      <c r="AN29" t="s">
        <v>92</v>
      </c>
      <c r="AO29" t="s">
        <v>74</v>
      </c>
      <c r="AP29" t="s">
        <v>74</v>
      </c>
      <c r="AQ29" t="s">
        <v>93</v>
      </c>
      <c r="AR29" t="s">
        <v>74</v>
      </c>
      <c r="AS29" t="s">
        <v>74</v>
      </c>
      <c r="AT29" t="s">
        <v>74</v>
      </c>
      <c r="AU29">
        <v>2003</v>
      </c>
      <c r="AV29" t="s">
        <v>74</v>
      </c>
      <c r="AW29" t="s">
        <v>74</v>
      </c>
      <c r="AX29" t="s">
        <v>74</v>
      </c>
      <c r="AY29" t="s">
        <v>74</v>
      </c>
      <c r="AZ29" t="s">
        <v>74</v>
      </c>
      <c r="BA29" t="s">
        <v>74</v>
      </c>
      <c r="BB29">
        <v>313</v>
      </c>
      <c r="BC29">
        <v>317</v>
      </c>
      <c r="BD29" t="s">
        <v>74</v>
      </c>
      <c r="BE29" t="s">
        <v>74</v>
      </c>
      <c r="BF29" t="s">
        <v>74</v>
      </c>
      <c r="BG29" t="s">
        <v>74</v>
      </c>
      <c r="BH29" t="s">
        <v>74</v>
      </c>
      <c r="BI29">
        <v>5</v>
      </c>
      <c r="BJ29" t="s">
        <v>94</v>
      </c>
      <c r="BK29" t="s">
        <v>95</v>
      </c>
      <c r="BL29" t="s">
        <v>96</v>
      </c>
      <c r="BM29" t="s">
        <v>97</v>
      </c>
      <c r="BN29" t="s">
        <v>74</v>
      </c>
      <c r="BO29" t="s">
        <v>74</v>
      </c>
      <c r="BP29" t="s">
        <v>74</v>
      </c>
      <c r="BQ29" t="s">
        <v>74</v>
      </c>
      <c r="BR29" t="s">
        <v>98</v>
      </c>
      <c r="BS29" t="s">
        <v>361</v>
      </c>
      <c r="BT29" t="str">
        <f>HYPERLINK("https%3A%2F%2Fwww.webofscience.com%2Fwos%2Fwoscc%2Ffull-record%2FWOS:000183287900049","View Full Record in Web of Science")</f>
        <v>View Full Record in Web of Science</v>
      </c>
    </row>
    <row r="30" spans="1:72" x14ac:dyDescent="0.15">
      <c r="A30" t="s">
        <v>72</v>
      </c>
      <c r="B30" t="s">
        <v>362</v>
      </c>
      <c r="C30" t="s">
        <v>74</v>
      </c>
      <c r="D30" t="s">
        <v>75</v>
      </c>
      <c r="E30" t="s">
        <v>74</v>
      </c>
      <c r="F30" t="s">
        <v>362</v>
      </c>
      <c r="G30" t="s">
        <v>74</v>
      </c>
      <c r="H30" t="s">
        <v>74</v>
      </c>
      <c r="I30" t="s">
        <v>363</v>
      </c>
      <c r="J30" t="s">
        <v>77</v>
      </c>
      <c r="K30" t="s">
        <v>74</v>
      </c>
      <c r="L30" t="s">
        <v>74</v>
      </c>
      <c r="M30" t="s">
        <v>78</v>
      </c>
      <c r="N30" t="s">
        <v>79</v>
      </c>
      <c r="O30" t="s">
        <v>80</v>
      </c>
      <c r="P30" t="s">
        <v>81</v>
      </c>
      <c r="Q30" t="s">
        <v>82</v>
      </c>
      <c r="R30" t="s">
        <v>74</v>
      </c>
      <c r="S30" t="s">
        <v>83</v>
      </c>
      <c r="T30" t="s">
        <v>364</v>
      </c>
      <c r="U30" t="s">
        <v>365</v>
      </c>
      <c r="V30" t="s">
        <v>366</v>
      </c>
      <c r="W30" t="s">
        <v>367</v>
      </c>
      <c r="X30" t="s">
        <v>368</v>
      </c>
      <c r="Y30" t="s">
        <v>369</v>
      </c>
      <c r="Z30" t="s">
        <v>74</v>
      </c>
      <c r="AA30" t="s">
        <v>74</v>
      </c>
      <c r="AB30" t="s">
        <v>74</v>
      </c>
      <c r="AC30" t="s">
        <v>74</v>
      </c>
      <c r="AD30" t="s">
        <v>74</v>
      </c>
      <c r="AE30" t="s">
        <v>74</v>
      </c>
      <c r="AF30" t="s">
        <v>74</v>
      </c>
      <c r="AG30">
        <v>87</v>
      </c>
      <c r="AH30">
        <v>9</v>
      </c>
      <c r="AI30">
        <v>11</v>
      </c>
      <c r="AJ30">
        <v>0</v>
      </c>
      <c r="AK30">
        <v>11</v>
      </c>
      <c r="AL30" t="s">
        <v>90</v>
      </c>
      <c r="AM30" t="s">
        <v>91</v>
      </c>
      <c r="AN30" t="s">
        <v>92</v>
      </c>
      <c r="AO30" t="s">
        <v>74</v>
      </c>
      <c r="AP30" t="s">
        <v>74</v>
      </c>
      <c r="AQ30" t="s">
        <v>93</v>
      </c>
      <c r="AR30" t="s">
        <v>74</v>
      </c>
      <c r="AS30" t="s">
        <v>74</v>
      </c>
      <c r="AT30" t="s">
        <v>74</v>
      </c>
      <c r="AU30">
        <v>2003</v>
      </c>
      <c r="AV30" t="s">
        <v>74</v>
      </c>
      <c r="AW30" t="s">
        <v>74</v>
      </c>
      <c r="AX30" t="s">
        <v>74</v>
      </c>
      <c r="AY30" t="s">
        <v>74</v>
      </c>
      <c r="AZ30" t="s">
        <v>74</v>
      </c>
      <c r="BA30" t="s">
        <v>74</v>
      </c>
      <c r="BB30">
        <v>321</v>
      </c>
      <c r="BC30">
        <v>329</v>
      </c>
      <c r="BD30" t="s">
        <v>74</v>
      </c>
      <c r="BE30" t="s">
        <v>74</v>
      </c>
      <c r="BF30" t="s">
        <v>74</v>
      </c>
      <c r="BG30" t="s">
        <v>74</v>
      </c>
      <c r="BH30" t="s">
        <v>74</v>
      </c>
      <c r="BI30">
        <v>9</v>
      </c>
      <c r="BJ30" t="s">
        <v>94</v>
      </c>
      <c r="BK30" t="s">
        <v>95</v>
      </c>
      <c r="BL30" t="s">
        <v>96</v>
      </c>
      <c r="BM30" t="s">
        <v>97</v>
      </c>
      <c r="BN30" t="s">
        <v>74</v>
      </c>
      <c r="BO30" t="s">
        <v>74</v>
      </c>
      <c r="BP30" t="s">
        <v>74</v>
      </c>
      <c r="BQ30" t="s">
        <v>74</v>
      </c>
      <c r="BR30" t="s">
        <v>98</v>
      </c>
      <c r="BS30" t="s">
        <v>370</v>
      </c>
      <c r="BT30" t="str">
        <f>HYPERLINK("https%3A%2F%2Fwww.webofscience.com%2Fwos%2Fwoscc%2Ffull-record%2FWOS:000183287900050","View Full Record in Web of Science")</f>
        <v>View Full Record in Web of Science</v>
      </c>
    </row>
    <row r="31" spans="1:72" x14ac:dyDescent="0.15">
      <c r="A31" t="s">
        <v>72</v>
      </c>
      <c r="B31" t="s">
        <v>371</v>
      </c>
      <c r="C31" t="s">
        <v>74</v>
      </c>
      <c r="D31" t="s">
        <v>372</v>
      </c>
      <c r="E31" t="s">
        <v>74</v>
      </c>
      <c r="F31" t="s">
        <v>371</v>
      </c>
      <c r="G31" t="s">
        <v>74</v>
      </c>
      <c r="H31" t="s">
        <v>74</v>
      </c>
      <c r="I31" t="s">
        <v>373</v>
      </c>
      <c r="J31" t="s">
        <v>374</v>
      </c>
      <c r="K31" t="s">
        <v>375</v>
      </c>
      <c r="L31" t="s">
        <v>74</v>
      </c>
      <c r="M31" t="s">
        <v>78</v>
      </c>
      <c r="N31" t="s">
        <v>79</v>
      </c>
      <c r="O31" t="s">
        <v>376</v>
      </c>
      <c r="P31" t="s">
        <v>377</v>
      </c>
      <c r="Q31" t="s">
        <v>378</v>
      </c>
      <c r="R31" t="s">
        <v>74</v>
      </c>
      <c r="S31" t="s">
        <v>379</v>
      </c>
      <c r="T31" t="s">
        <v>74</v>
      </c>
      <c r="U31" t="s">
        <v>380</v>
      </c>
      <c r="V31" t="s">
        <v>381</v>
      </c>
      <c r="W31" t="s">
        <v>382</v>
      </c>
      <c r="X31" t="s">
        <v>383</v>
      </c>
      <c r="Y31" t="s">
        <v>384</v>
      </c>
      <c r="Z31" t="s">
        <v>385</v>
      </c>
      <c r="AA31" t="s">
        <v>386</v>
      </c>
      <c r="AB31" t="s">
        <v>74</v>
      </c>
      <c r="AC31" t="s">
        <v>74</v>
      </c>
      <c r="AD31" t="s">
        <v>74</v>
      </c>
      <c r="AE31" t="s">
        <v>74</v>
      </c>
      <c r="AF31" t="s">
        <v>74</v>
      </c>
      <c r="AG31">
        <v>72</v>
      </c>
      <c r="AH31">
        <v>27</v>
      </c>
      <c r="AI31">
        <v>34</v>
      </c>
      <c r="AJ31">
        <v>0</v>
      </c>
      <c r="AK31">
        <v>6</v>
      </c>
      <c r="AL31" t="s">
        <v>387</v>
      </c>
      <c r="AM31" t="s">
        <v>388</v>
      </c>
      <c r="AN31" t="s">
        <v>389</v>
      </c>
      <c r="AO31" t="s">
        <v>390</v>
      </c>
      <c r="AP31" t="s">
        <v>74</v>
      </c>
      <c r="AQ31" t="s">
        <v>391</v>
      </c>
      <c r="AR31" t="s">
        <v>392</v>
      </c>
      <c r="AS31" t="s">
        <v>393</v>
      </c>
      <c r="AT31" t="s">
        <v>74</v>
      </c>
      <c r="AU31">
        <v>2003</v>
      </c>
      <c r="AV31">
        <v>79</v>
      </c>
      <c r="AW31" t="s">
        <v>74</v>
      </c>
      <c r="AX31" t="s">
        <v>74</v>
      </c>
      <c r="AY31" t="s">
        <v>74</v>
      </c>
      <c r="AZ31" t="s">
        <v>74</v>
      </c>
      <c r="BA31" t="s">
        <v>74</v>
      </c>
      <c r="BB31">
        <v>1</v>
      </c>
      <c r="BC31">
        <v>13</v>
      </c>
      <c r="BD31" t="s">
        <v>74</v>
      </c>
      <c r="BE31" t="s">
        <v>74</v>
      </c>
      <c r="BF31" t="s">
        <v>74</v>
      </c>
      <c r="BG31" t="s">
        <v>74</v>
      </c>
      <c r="BH31" t="s">
        <v>74</v>
      </c>
      <c r="BI31">
        <v>13</v>
      </c>
      <c r="BJ31" t="s">
        <v>394</v>
      </c>
      <c r="BK31" t="s">
        <v>95</v>
      </c>
      <c r="BL31" t="s">
        <v>394</v>
      </c>
      <c r="BM31" t="s">
        <v>395</v>
      </c>
      <c r="BN31" t="s">
        <v>74</v>
      </c>
      <c r="BO31" t="s">
        <v>74</v>
      </c>
      <c r="BP31" t="s">
        <v>74</v>
      </c>
      <c r="BQ31" t="s">
        <v>74</v>
      </c>
      <c r="BR31" t="s">
        <v>98</v>
      </c>
      <c r="BS31" t="s">
        <v>396</v>
      </c>
      <c r="BT31" t="str">
        <f>HYPERLINK("https%3A%2F%2Fwww.webofscience.com%2Fwos%2Fwoscc%2Ffull-record%2FWOS:000224376000001","View Full Record in Web of Science")</f>
        <v>View Full Record in Web of Science</v>
      </c>
    </row>
    <row r="32" spans="1:72" x14ac:dyDescent="0.15">
      <c r="A32" t="s">
        <v>72</v>
      </c>
      <c r="B32" t="s">
        <v>397</v>
      </c>
      <c r="C32" t="s">
        <v>74</v>
      </c>
      <c r="D32" t="s">
        <v>372</v>
      </c>
      <c r="E32" t="s">
        <v>74</v>
      </c>
      <c r="F32" t="s">
        <v>397</v>
      </c>
      <c r="G32" t="s">
        <v>74</v>
      </c>
      <c r="H32" t="s">
        <v>74</v>
      </c>
      <c r="I32" t="s">
        <v>398</v>
      </c>
      <c r="J32" t="s">
        <v>374</v>
      </c>
      <c r="K32" t="s">
        <v>375</v>
      </c>
      <c r="L32" t="s">
        <v>74</v>
      </c>
      <c r="M32" t="s">
        <v>78</v>
      </c>
      <c r="N32" t="s">
        <v>79</v>
      </c>
      <c r="O32" t="s">
        <v>376</v>
      </c>
      <c r="P32" t="s">
        <v>377</v>
      </c>
      <c r="Q32" t="s">
        <v>378</v>
      </c>
      <c r="R32" t="s">
        <v>74</v>
      </c>
      <c r="S32" t="s">
        <v>379</v>
      </c>
      <c r="T32" t="s">
        <v>74</v>
      </c>
      <c r="U32" t="s">
        <v>399</v>
      </c>
      <c r="V32" t="s">
        <v>400</v>
      </c>
      <c r="W32" t="s">
        <v>238</v>
      </c>
      <c r="X32" t="s">
        <v>239</v>
      </c>
      <c r="Y32" t="s">
        <v>401</v>
      </c>
      <c r="Z32" t="s">
        <v>74</v>
      </c>
      <c r="AA32" t="s">
        <v>74</v>
      </c>
      <c r="AB32" t="s">
        <v>74</v>
      </c>
      <c r="AC32" t="s">
        <v>74</v>
      </c>
      <c r="AD32" t="s">
        <v>74</v>
      </c>
      <c r="AE32" t="s">
        <v>74</v>
      </c>
      <c r="AF32" t="s">
        <v>74</v>
      </c>
      <c r="AG32">
        <v>30</v>
      </c>
      <c r="AH32">
        <v>100</v>
      </c>
      <c r="AI32">
        <v>113</v>
      </c>
      <c r="AJ32">
        <v>0</v>
      </c>
      <c r="AK32">
        <v>11</v>
      </c>
      <c r="AL32" t="s">
        <v>387</v>
      </c>
      <c r="AM32" t="s">
        <v>388</v>
      </c>
      <c r="AN32" t="s">
        <v>389</v>
      </c>
      <c r="AO32" t="s">
        <v>390</v>
      </c>
      <c r="AP32" t="s">
        <v>74</v>
      </c>
      <c r="AQ32" t="s">
        <v>391</v>
      </c>
      <c r="AR32" t="s">
        <v>392</v>
      </c>
      <c r="AS32" t="s">
        <v>393</v>
      </c>
      <c r="AT32" t="s">
        <v>74</v>
      </c>
      <c r="AU32">
        <v>2003</v>
      </c>
      <c r="AV32">
        <v>79</v>
      </c>
      <c r="AW32" t="s">
        <v>74</v>
      </c>
      <c r="AX32" t="s">
        <v>74</v>
      </c>
      <c r="AY32" t="s">
        <v>74</v>
      </c>
      <c r="AZ32" t="s">
        <v>74</v>
      </c>
      <c r="BA32" t="s">
        <v>74</v>
      </c>
      <c r="BB32">
        <v>17</v>
      </c>
      <c r="BC32">
        <v>30</v>
      </c>
      <c r="BD32" t="s">
        <v>74</v>
      </c>
      <c r="BE32" t="s">
        <v>74</v>
      </c>
      <c r="BF32" t="s">
        <v>74</v>
      </c>
      <c r="BG32" t="s">
        <v>74</v>
      </c>
      <c r="BH32" t="s">
        <v>74</v>
      </c>
      <c r="BI32">
        <v>14</v>
      </c>
      <c r="BJ32" t="s">
        <v>394</v>
      </c>
      <c r="BK32" t="s">
        <v>95</v>
      </c>
      <c r="BL32" t="s">
        <v>394</v>
      </c>
      <c r="BM32" t="s">
        <v>395</v>
      </c>
      <c r="BN32" t="s">
        <v>74</v>
      </c>
      <c r="BO32" t="s">
        <v>74</v>
      </c>
      <c r="BP32" t="s">
        <v>74</v>
      </c>
      <c r="BQ32" t="s">
        <v>74</v>
      </c>
      <c r="BR32" t="s">
        <v>98</v>
      </c>
      <c r="BS32" t="s">
        <v>402</v>
      </c>
      <c r="BT32" t="str">
        <f>HYPERLINK("https%3A%2F%2Fwww.webofscience.com%2Fwos%2Fwoscc%2Ffull-record%2FWOS:000224376000002","View Full Record in Web of Science")</f>
        <v>View Full Record in Web of Science</v>
      </c>
    </row>
    <row r="33" spans="1:72" x14ac:dyDescent="0.15">
      <c r="A33" t="s">
        <v>72</v>
      </c>
      <c r="B33" t="s">
        <v>403</v>
      </c>
      <c r="C33" t="s">
        <v>74</v>
      </c>
      <c r="D33" t="s">
        <v>372</v>
      </c>
      <c r="E33" t="s">
        <v>74</v>
      </c>
      <c r="F33" t="s">
        <v>403</v>
      </c>
      <c r="G33" t="s">
        <v>74</v>
      </c>
      <c r="H33" t="s">
        <v>74</v>
      </c>
      <c r="I33" t="s">
        <v>404</v>
      </c>
      <c r="J33" t="s">
        <v>374</v>
      </c>
      <c r="K33" t="s">
        <v>375</v>
      </c>
      <c r="L33" t="s">
        <v>74</v>
      </c>
      <c r="M33" t="s">
        <v>78</v>
      </c>
      <c r="N33" t="s">
        <v>79</v>
      </c>
      <c r="O33" t="s">
        <v>376</v>
      </c>
      <c r="P33" t="s">
        <v>377</v>
      </c>
      <c r="Q33" t="s">
        <v>378</v>
      </c>
      <c r="R33" t="s">
        <v>74</v>
      </c>
      <c r="S33" t="s">
        <v>379</v>
      </c>
      <c r="T33" t="s">
        <v>74</v>
      </c>
      <c r="U33" t="s">
        <v>405</v>
      </c>
      <c r="V33" t="s">
        <v>406</v>
      </c>
      <c r="W33" t="s">
        <v>407</v>
      </c>
      <c r="X33" t="s">
        <v>408</v>
      </c>
      <c r="Y33" t="s">
        <v>409</v>
      </c>
      <c r="Z33" t="s">
        <v>410</v>
      </c>
      <c r="AA33" t="s">
        <v>74</v>
      </c>
      <c r="AB33" t="s">
        <v>74</v>
      </c>
      <c r="AC33" t="s">
        <v>74</v>
      </c>
      <c r="AD33" t="s">
        <v>74</v>
      </c>
      <c r="AE33" t="s">
        <v>74</v>
      </c>
      <c r="AF33" t="s">
        <v>74</v>
      </c>
      <c r="AG33">
        <v>76</v>
      </c>
      <c r="AH33">
        <v>10</v>
      </c>
      <c r="AI33">
        <v>11</v>
      </c>
      <c r="AJ33">
        <v>0</v>
      </c>
      <c r="AK33">
        <v>3</v>
      </c>
      <c r="AL33" t="s">
        <v>387</v>
      </c>
      <c r="AM33" t="s">
        <v>388</v>
      </c>
      <c r="AN33" t="s">
        <v>389</v>
      </c>
      <c r="AO33" t="s">
        <v>390</v>
      </c>
      <c r="AP33" t="s">
        <v>74</v>
      </c>
      <c r="AQ33" t="s">
        <v>391</v>
      </c>
      <c r="AR33" t="s">
        <v>392</v>
      </c>
      <c r="AS33" t="s">
        <v>393</v>
      </c>
      <c r="AT33" t="s">
        <v>74</v>
      </c>
      <c r="AU33">
        <v>2003</v>
      </c>
      <c r="AV33">
        <v>79</v>
      </c>
      <c r="AW33" t="s">
        <v>74</v>
      </c>
      <c r="AX33" t="s">
        <v>74</v>
      </c>
      <c r="AY33" t="s">
        <v>74</v>
      </c>
      <c r="AZ33" t="s">
        <v>74</v>
      </c>
      <c r="BA33" t="s">
        <v>74</v>
      </c>
      <c r="BB33">
        <v>31</v>
      </c>
      <c r="BC33">
        <v>42</v>
      </c>
      <c r="BD33" t="s">
        <v>74</v>
      </c>
      <c r="BE33" t="s">
        <v>74</v>
      </c>
      <c r="BF33" t="s">
        <v>74</v>
      </c>
      <c r="BG33" t="s">
        <v>74</v>
      </c>
      <c r="BH33" t="s">
        <v>74</v>
      </c>
      <c r="BI33">
        <v>12</v>
      </c>
      <c r="BJ33" t="s">
        <v>394</v>
      </c>
      <c r="BK33" t="s">
        <v>95</v>
      </c>
      <c r="BL33" t="s">
        <v>394</v>
      </c>
      <c r="BM33" t="s">
        <v>395</v>
      </c>
      <c r="BN33" t="s">
        <v>74</v>
      </c>
      <c r="BO33" t="s">
        <v>74</v>
      </c>
      <c r="BP33" t="s">
        <v>74</v>
      </c>
      <c r="BQ33" t="s">
        <v>74</v>
      </c>
      <c r="BR33" t="s">
        <v>98</v>
      </c>
      <c r="BS33" t="s">
        <v>411</v>
      </c>
      <c r="BT33" t="str">
        <f>HYPERLINK("https%3A%2F%2Fwww.webofscience.com%2Fwos%2Fwoscc%2Ffull-record%2FWOS:000224376000003","View Full Record in Web of Science")</f>
        <v>View Full Record in Web of Science</v>
      </c>
    </row>
    <row r="34" spans="1:72" x14ac:dyDescent="0.15">
      <c r="A34" t="s">
        <v>72</v>
      </c>
      <c r="B34" t="s">
        <v>412</v>
      </c>
      <c r="C34" t="s">
        <v>74</v>
      </c>
      <c r="D34" t="s">
        <v>372</v>
      </c>
      <c r="E34" t="s">
        <v>74</v>
      </c>
      <c r="F34" t="s">
        <v>412</v>
      </c>
      <c r="G34" t="s">
        <v>74</v>
      </c>
      <c r="H34" t="s">
        <v>74</v>
      </c>
      <c r="I34" t="s">
        <v>413</v>
      </c>
      <c r="J34" t="s">
        <v>374</v>
      </c>
      <c r="K34" t="s">
        <v>375</v>
      </c>
      <c r="L34" t="s">
        <v>74</v>
      </c>
      <c r="M34" t="s">
        <v>78</v>
      </c>
      <c r="N34" t="s">
        <v>79</v>
      </c>
      <c r="O34" t="s">
        <v>376</v>
      </c>
      <c r="P34" t="s">
        <v>377</v>
      </c>
      <c r="Q34" t="s">
        <v>378</v>
      </c>
      <c r="R34" t="s">
        <v>74</v>
      </c>
      <c r="S34" t="s">
        <v>379</v>
      </c>
      <c r="T34" t="s">
        <v>74</v>
      </c>
      <c r="U34" t="s">
        <v>414</v>
      </c>
      <c r="V34" t="s">
        <v>415</v>
      </c>
      <c r="W34" t="s">
        <v>416</v>
      </c>
      <c r="X34" t="s">
        <v>417</v>
      </c>
      <c r="Y34" t="s">
        <v>418</v>
      </c>
      <c r="Z34" t="s">
        <v>74</v>
      </c>
      <c r="AA34" t="s">
        <v>419</v>
      </c>
      <c r="AB34" t="s">
        <v>420</v>
      </c>
      <c r="AC34" t="s">
        <v>74</v>
      </c>
      <c r="AD34" t="s">
        <v>74</v>
      </c>
      <c r="AE34" t="s">
        <v>74</v>
      </c>
      <c r="AF34" t="s">
        <v>74</v>
      </c>
      <c r="AG34">
        <v>30</v>
      </c>
      <c r="AH34">
        <v>39</v>
      </c>
      <c r="AI34">
        <v>40</v>
      </c>
      <c r="AJ34">
        <v>0</v>
      </c>
      <c r="AK34">
        <v>7</v>
      </c>
      <c r="AL34" t="s">
        <v>387</v>
      </c>
      <c r="AM34" t="s">
        <v>388</v>
      </c>
      <c r="AN34" t="s">
        <v>389</v>
      </c>
      <c r="AO34" t="s">
        <v>390</v>
      </c>
      <c r="AP34" t="s">
        <v>74</v>
      </c>
      <c r="AQ34" t="s">
        <v>391</v>
      </c>
      <c r="AR34" t="s">
        <v>392</v>
      </c>
      <c r="AS34" t="s">
        <v>74</v>
      </c>
      <c r="AT34" t="s">
        <v>74</v>
      </c>
      <c r="AU34">
        <v>2003</v>
      </c>
      <c r="AV34">
        <v>79</v>
      </c>
      <c r="AW34" t="s">
        <v>74</v>
      </c>
      <c r="AX34" t="s">
        <v>74</v>
      </c>
      <c r="AY34" t="s">
        <v>74</v>
      </c>
      <c r="AZ34" t="s">
        <v>74</v>
      </c>
      <c r="BA34" t="s">
        <v>74</v>
      </c>
      <c r="BB34">
        <v>43</v>
      </c>
      <c r="BC34">
        <v>58</v>
      </c>
      <c r="BD34" t="s">
        <v>74</v>
      </c>
      <c r="BE34" t="s">
        <v>74</v>
      </c>
      <c r="BF34" t="s">
        <v>74</v>
      </c>
      <c r="BG34" t="s">
        <v>74</v>
      </c>
      <c r="BH34" t="s">
        <v>74</v>
      </c>
      <c r="BI34">
        <v>16</v>
      </c>
      <c r="BJ34" t="s">
        <v>394</v>
      </c>
      <c r="BK34" t="s">
        <v>95</v>
      </c>
      <c r="BL34" t="s">
        <v>394</v>
      </c>
      <c r="BM34" t="s">
        <v>395</v>
      </c>
      <c r="BN34" t="s">
        <v>74</v>
      </c>
      <c r="BO34" t="s">
        <v>74</v>
      </c>
      <c r="BP34" t="s">
        <v>74</v>
      </c>
      <c r="BQ34" t="s">
        <v>74</v>
      </c>
      <c r="BR34" t="s">
        <v>98</v>
      </c>
      <c r="BS34" t="s">
        <v>421</v>
      </c>
      <c r="BT34" t="str">
        <f>HYPERLINK("https%3A%2F%2Fwww.webofscience.com%2Fwos%2Fwoscc%2Ffull-record%2FWOS:000224376000004","View Full Record in Web of Science")</f>
        <v>View Full Record in Web of Science</v>
      </c>
    </row>
    <row r="35" spans="1:72" x14ac:dyDescent="0.15">
      <c r="A35" t="s">
        <v>72</v>
      </c>
      <c r="B35" t="s">
        <v>422</v>
      </c>
      <c r="C35" t="s">
        <v>74</v>
      </c>
      <c r="D35" t="s">
        <v>372</v>
      </c>
      <c r="E35" t="s">
        <v>74</v>
      </c>
      <c r="F35" t="s">
        <v>422</v>
      </c>
      <c r="G35" t="s">
        <v>74</v>
      </c>
      <c r="H35" t="s">
        <v>74</v>
      </c>
      <c r="I35" t="s">
        <v>423</v>
      </c>
      <c r="J35" t="s">
        <v>374</v>
      </c>
      <c r="K35" t="s">
        <v>375</v>
      </c>
      <c r="L35" t="s">
        <v>74</v>
      </c>
      <c r="M35" t="s">
        <v>78</v>
      </c>
      <c r="N35" t="s">
        <v>79</v>
      </c>
      <c r="O35" t="s">
        <v>376</v>
      </c>
      <c r="P35" t="s">
        <v>377</v>
      </c>
      <c r="Q35" t="s">
        <v>378</v>
      </c>
      <c r="R35" t="s">
        <v>74</v>
      </c>
      <c r="S35" t="s">
        <v>379</v>
      </c>
      <c r="T35" t="s">
        <v>74</v>
      </c>
      <c r="U35" t="s">
        <v>74</v>
      </c>
      <c r="V35" t="s">
        <v>424</v>
      </c>
      <c r="W35" t="s">
        <v>238</v>
      </c>
      <c r="X35" t="s">
        <v>239</v>
      </c>
      <c r="Y35" t="s">
        <v>425</v>
      </c>
      <c r="Z35" t="s">
        <v>74</v>
      </c>
      <c r="AA35" t="s">
        <v>426</v>
      </c>
      <c r="AB35" t="s">
        <v>74</v>
      </c>
      <c r="AC35" t="s">
        <v>74</v>
      </c>
      <c r="AD35" t="s">
        <v>74</v>
      </c>
      <c r="AE35" t="s">
        <v>74</v>
      </c>
      <c r="AF35" t="s">
        <v>74</v>
      </c>
      <c r="AG35">
        <v>20</v>
      </c>
      <c r="AH35">
        <v>132</v>
      </c>
      <c r="AI35">
        <v>150</v>
      </c>
      <c r="AJ35">
        <v>1</v>
      </c>
      <c r="AK35">
        <v>15</v>
      </c>
      <c r="AL35" t="s">
        <v>387</v>
      </c>
      <c r="AM35" t="s">
        <v>388</v>
      </c>
      <c r="AN35" t="s">
        <v>389</v>
      </c>
      <c r="AO35" t="s">
        <v>390</v>
      </c>
      <c r="AP35" t="s">
        <v>74</v>
      </c>
      <c r="AQ35" t="s">
        <v>391</v>
      </c>
      <c r="AR35" t="s">
        <v>392</v>
      </c>
      <c r="AS35" t="s">
        <v>74</v>
      </c>
      <c r="AT35" t="s">
        <v>74</v>
      </c>
      <c r="AU35">
        <v>2003</v>
      </c>
      <c r="AV35">
        <v>79</v>
      </c>
      <c r="AW35" t="s">
        <v>74</v>
      </c>
      <c r="AX35" t="s">
        <v>74</v>
      </c>
      <c r="AY35" t="s">
        <v>74</v>
      </c>
      <c r="AZ35" t="s">
        <v>74</v>
      </c>
      <c r="BA35" t="s">
        <v>74</v>
      </c>
      <c r="BB35">
        <v>61</v>
      </c>
      <c r="BC35">
        <v>68</v>
      </c>
      <c r="BD35" t="s">
        <v>74</v>
      </c>
      <c r="BE35" t="s">
        <v>74</v>
      </c>
      <c r="BF35" t="s">
        <v>74</v>
      </c>
      <c r="BG35" t="s">
        <v>74</v>
      </c>
      <c r="BH35" t="s">
        <v>74</v>
      </c>
      <c r="BI35">
        <v>8</v>
      </c>
      <c r="BJ35" t="s">
        <v>394</v>
      </c>
      <c r="BK35" t="s">
        <v>95</v>
      </c>
      <c r="BL35" t="s">
        <v>394</v>
      </c>
      <c r="BM35" t="s">
        <v>395</v>
      </c>
      <c r="BN35" t="s">
        <v>74</v>
      </c>
      <c r="BO35" t="s">
        <v>74</v>
      </c>
      <c r="BP35" t="s">
        <v>74</v>
      </c>
      <c r="BQ35" t="s">
        <v>74</v>
      </c>
      <c r="BR35" t="s">
        <v>98</v>
      </c>
      <c r="BS35" t="s">
        <v>427</v>
      </c>
      <c r="BT35" t="str">
        <f>HYPERLINK("https%3A%2F%2Fwww.webofscience.com%2Fwos%2Fwoscc%2Ffull-record%2FWOS:000224376000005","View Full Record in Web of Science")</f>
        <v>View Full Record in Web of Science</v>
      </c>
    </row>
    <row r="36" spans="1:72" x14ac:dyDescent="0.15">
      <c r="A36" t="s">
        <v>72</v>
      </c>
      <c r="B36" t="s">
        <v>428</v>
      </c>
      <c r="C36" t="s">
        <v>74</v>
      </c>
      <c r="D36" t="s">
        <v>372</v>
      </c>
      <c r="E36" t="s">
        <v>74</v>
      </c>
      <c r="F36" t="s">
        <v>428</v>
      </c>
      <c r="G36" t="s">
        <v>74</v>
      </c>
      <c r="H36" t="s">
        <v>74</v>
      </c>
      <c r="I36" t="s">
        <v>429</v>
      </c>
      <c r="J36" t="s">
        <v>374</v>
      </c>
      <c r="K36" t="s">
        <v>375</v>
      </c>
      <c r="L36" t="s">
        <v>74</v>
      </c>
      <c r="M36" t="s">
        <v>78</v>
      </c>
      <c r="N36" t="s">
        <v>79</v>
      </c>
      <c r="O36" t="s">
        <v>376</v>
      </c>
      <c r="P36" t="s">
        <v>377</v>
      </c>
      <c r="Q36" t="s">
        <v>378</v>
      </c>
      <c r="R36" t="s">
        <v>74</v>
      </c>
      <c r="S36" t="s">
        <v>379</v>
      </c>
      <c r="T36" t="s">
        <v>74</v>
      </c>
      <c r="U36" t="s">
        <v>430</v>
      </c>
      <c r="V36" t="s">
        <v>431</v>
      </c>
      <c r="W36" t="s">
        <v>432</v>
      </c>
      <c r="X36" t="s">
        <v>433</v>
      </c>
      <c r="Y36" t="s">
        <v>434</v>
      </c>
      <c r="Z36" t="s">
        <v>435</v>
      </c>
      <c r="AA36" t="s">
        <v>436</v>
      </c>
      <c r="AB36" t="s">
        <v>437</v>
      </c>
      <c r="AC36" t="s">
        <v>74</v>
      </c>
      <c r="AD36" t="s">
        <v>74</v>
      </c>
      <c r="AE36" t="s">
        <v>74</v>
      </c>
      <c r="AF36" t="s">
        <v>74</v>
      </c>
      <c r="AG36">
        <v>24</v>
      </c>
      <c r="AH36">
        <v>29</v>
      </c>
      <c r="AI36">
        <v>35</v>
      </c>
      <c r="AJ36">
        <v>0</v>
      </c>
      <c r="AK36">
        <v>7</v>
      </c>
      <c r="AL36" t="s">
        <v>387</v>
      </c>
      <c r="AM36" t="s">
        <v>388</v>
      </c>
      <c r="AN36" t="s">
        <v>389</v>
      </c>
      <c r="AO36" t="s">
        <v>390</v>
      </c>
      <c r="AP36" t="s">
        <v>74</v>
      </c>
      <c r="AQ36" t="s">
        <v>391</v>
      </c>
      <c r="AR36" t="s">
        <v>392</v>
      </c>
      <c r="AS36" t="s">
        <v>393</v>
      </c>
      <c r="AT36" t="s">
        <v>74</v>
      </c>
      <c r="AU36">
        <v>2003</v>
      </c>
      <c r="AV36">
        <v>79</v>
      </c>
      <c r="AW36" t="s">
        <v>74</v>
      </c>
      <c r="AX36" t="s">
        <v>74</v>
      </c>
      <c r="AY36" t="s">
        <v>74</v>
      </c>
      <c r="AZ36" t="s">
        <v>74</v>
      </c>
      <c r="BA36" t="s">
        <v>74</v>
      </c>
      <c r="BB36">
        <v>69</v>
      </c>
      <c r="BC36">
        <v>78</v>
      </c>
      <c r="BD36" t="s">
        <v>74</v>
      </c>
      <c r="BE36" t="s">
        <v>74</v>
      </c>
      <c r="BF36" t="s">
        <v>74</v>
      </c>
      <c r="BG36" t="s">
        <v>74</v>
      </c>
      <c r="BH36" t="s">
        <v>74</v>
      </c>
      <c r="BI36">
        <v>10</v>
      </c>
      <c r="BJ36" t="s">
        <v>394</v>
      </c>
      <c r="BK36" t="s">
        <v>95</v>
      </c>
      <c r="BL36" t="s">
        <v>394</v>
      </c>
      <c r="BM36" t="s">
        <v>395</v>
      </c>
      <c r="BN36" t="s">
        <v>74</v>
      </c>
      <c r="BO36" t="s">
        <v>74</v>
      </c>
      <c r="BP36" t="s">
        <v>74</v>
      </c>
      <c r="BQ36" t="s">
        <v>74</v>
      </c>
      <c r="BR36" t="s">
        <v>98</v>
      </c>
      <c r="BS36" t="s">
        <v>438</v>
      </c>
      <c r="BT36" t="str">
        <f>HYPERLINK("https%3A%2F%2Fwww.webofscience.com%2Fwos%2Fwoscc%2Ffull-record%2FWOS:000224376000006","View Full Record in Web of Science")</f>
        <v>View Full Record in Web of Science</v>
      </c>
    </row>
    <row r="37" spans="1:72" x14ac:dyDescent="0.15">
      <c r="A37" t="s">
        <v>72</v>
      </c>
      <c r="B37" t="s">
        <v>439</v>
      </c>
      <c r="C37" t="s">
        <v>74</v>
      </c>
      <c r="D37" t="s">
        <v>372</v>
      </c>
      <c r="E37" t="s">
        <v>74</v>
      </c>
      <c r="F37" t="s">
        <v>439</v>
      </c>
      <c r="G37" t="s">
        <v>74</v>
      </c>
      <c r="H37" t="s">
        <v>74</v>
      </c>
      <c r="I37" t="s">
        <v>440</v>
      </c>
      <c r="J37" t="s">
        <v>374</v>
      </c>
      <c r="K37" t="s">
        <v>375</v>
      </c>
      <c r="L37" t="s">
        <v>74</v>
      </c>
      <c r="M37" t="s">
        <v>78</v>
      </c>
      <c r="N37" t="s">
        <v>79</v>
      </c>
      <c r="O37" t="s">
        <v>376</v>
      </c>
      <c r="P37" t="s">
        <v>377</v>
      </c>
      <c r="Q37" t="s">
        <v>378</v>
      </c>
      <c r="R37" t="s">
        <v>74</v>
      </c>
      <c r="S37" t="s">
        <v>379</v>
      </c>
      <c r="T37" t="s">
        <v>74</v>
      </c>
      <c r="U37" t="s">
        <v>441</v>
      </c>
      <c r="V37" t="s">
        <v>442</v>
      </c>
      <c r="W37" t="s">
        <v>443</v>
      </c>
      <c r="X37" t="s">
        <v>444</v>
      </c>
      <c r="Y37" t="s">
        <v>445</v>
      </c>
      <c r="Z37" t="s">
        <v>74</v>
      </c>
      <c r="AA37" t="s">
        <v>74</v>
      </c>
      <c r="AB37" t="s">
        <v>446</v>
      </c>
      <c r="AC37" t="s">
        <v>74</v>
      </c>
      <c r="AD37" t="s">
        <v>74</v>
      </c>
      <c r="AE37" t="s">
        <v>74</v>
      </c>
      <c r="AF37" t="s">
        <v>74</v>
      </c>
      <c r="AG37">
        <v>55</v>
      </c>
      <c r="AH37">
        <v>249</v>
      </c>
      <c r="AI37">
        <v>281</v>
      </c>
      <c r="AJ37">
        <v>0</v>
      </c>
      <c r="AK37">
        <v>66</v>
      </c>
      <c r="AL37" t="s">
        <v>387</v>
      </c>
      <c r="AM37" t="s">
        <v>388</v>
      </c>
      <c r="AN37" t="s">
        <v>389</v>
      </c>
      <c r="AO37" t="s">
        <v>390</v>
      </c>
      <c r="AP37" t="s">
        <v>74</v>
      </c>
      <c r="AQ37" t="s">
        <v>391</v>
      </c>
      <c r="AR37" t="s">
        <v>392</v>
      </c>
      <c r="AS37" t="s">
        <v>393</v>
      </c>
      <c r="AT37" t="s">
        <v>74</v>
      </c>
      <c r="AU37">
        <v>2003</v>
      </c>
      <c r="AV37">
        <v>79</v>
      </c>
      <c r="AW37" t="s">
        <v>74</v>
      </c>
      <c r="AX37" t="s">
        <v>74</v>
      </c>
      <c r="AY37" t="s">
        <v>74</v>
      </c>
      <c r="AZ37" t="s">
        <v>74</v>
      </c>
      <c r="BA37" t="s">
        <v>74</v>
      </c>
      <c r="BB37">
        <v>79</v>
      </c>
      <c r="BC37">
        <v>92</v>
      </c>
      <c r="BD37" t="s">
        <v>74</v>
      </c>
      <c r="BE37" t="s">
        <v>74</v>
      </c>
      <c r="BF37" t="s">
        <v>74</v>
      </c>
      <c r="BG37" t="s">
        <v>74</v>
      </c>
      <c r="BH37" t="s">
        <v>74</v>
      </c>
      <c r="BI37">
        <v>14</v>
      </c>
      <c r="BJ37" t="s">
        <v>394</v>
      </c>
      <c r="BK37" t="s">
        <v>95</v>
      </c>
      <c r="BL37" t="s">
        <v>394</v>
      </c>
      <c r="BM37" t="s">
        <v>395</v>
      </c>
      <c r="BN37" t="s">
        <v>74</v>
      </c>
      <c r="BO37" t="s">
        <v>74</v>
      </c>
      <c r="BP37" t="s">
        <v>74</v>
      </c>
      <c r="BQ37" t="s">
        <v>74</v>
      </c>
      <c r="BR37" t="s">
        <v>98</v>
      </c>
      <c r="BS37" t="s">
        <v>447</v>
      </c>
      <c r="BT37" t="str">
        <f>HYPERLINK("https%3A%2F%2Fwww.webofscience.com%2Fwos%2Fwoscc%2Ffull-record%2FWOS:000224376000007","View Full Record in Web of Science")</f>
        <v>View Full Record in Web of Science</v>
      </c>
    </row>
    <row r="38" spans="1:72" x14ac:dyDescent="0.15">
      <c r="A38" t="s">
        <v>72</v>
      </c>
      <c r="B38" t="s">
        <v>448</v>
      </c>
      <c r="C38" t="s">
        <v>74</v>
      </c>
      <c r="D38" t="s">
        <v>372</v>
      </c>
      <c r="E38" t="s">
        <v>74</v>
      </c>
      <c r="F38" t="s">
        <v>448</v>
      </c>
      <c r="G38" t="s">
        <v>74</v>
      </c>
      <c r="H38" t="s">
        <v>74</v>
      </c>
      <c r="I38" t="s">
        <v>449</v>
      </c>
      <c r="J38" t="s">
        <v>374</v>
      </c>
      <c r="K38" t="s">
        <v>375</v>
      </c>
      <c r="L38" t="s">
        <v>74</v>
      </c>
      <c r="M38" t="s">
        <v>78</v>
      </c>
      <c r="N38" t="s">
        <v>79</v>
      </c>
      <c r="O38" t="s">
        <v>376</v>
      </c>
      <c r="P38" t="s">
        <v>377</v>
      </c>
      <c r="Q38" t="s">
        <v>378</v>
      </c>
      <c r="R38" t="s">
        <v>74</v>
      </c>
      <c r="S38" t="s">
        <v>379</v>
      </c>
      <c r="T38" t="s">
        <v>74</v>
      </c>
      <c r="U38" t="s">
        <v>450</v>
      </c>
      <c r="V38" t="s">
        <v>451</v>
      </c>
      <c r="W38" t="s">
        <v>452</v>
      </c>
      <c r="X38" t="s">
        <v>453</v>
      </c>
      <c r="Y38" t="s">
        <v>454</v>
      </c>
      <c r="Z38" t="s">
        <v>74</v>
      </c>
      <c r="AA38" t="s">
        <v>455</v>
      </c>
      <c r="AB38" t="s">
        <v>456</v>
      </c>
      <c r="AC38" t="s">
        <v>74</v>
      </c>
      <c r="AD38" t="s">
        <v>74</v>
      </c>
      <c r="AE38" t="s">
        <v>74</v>
      </c>
      <c r="AF38" t="s">
        <v>74</v>
      </c>
      <c r="AG38">
        <v>65</v>
      </c>
      <c r="AH38">
        <v>19</v>
      </c>
      <c r="AI38">
        <v>23</v>
      </c>
      <c r="AJ38">
        <v>0</v>
      </c>
      <c r="AK38">
        <v>9</v>
      </c>
      <c r="AL38" t="s">
        <v>387</v>
      </c>
      <c r="AM38" t="s">
        <v>388</v>
      </c>
      <c r="AN38" t="s">
        <v>389</v>
      </c>
      <c r="AO38" t="s">
        <v>390</v>
      </c>
      <c r="AP38" t="s">
        <v>74</v>
      </c>
      <c r="AQ38" t="s">
        <v>391</v>
      </c>
      <c r="AR38" t="s">
        <v>392</v>
      </c>
      <c r="AS38" t="s">
        <v>74</v>
      </c>
      <c r="AT38" t="s">
        <v>74</v>
      </c>
      <c r="AU38">
        <v>2003</v>
      </c>
      <c r="AV38">
        <v>79</v>
      </c>
      <c r="AW38" t="s">
        <v>74</v>
      </c>
      <c r="AX38" t="s">
        <v>74</v>
      </c>
      <c r="AY38" t="s">
        <v>74</v>
      </c>
      <c r="AZ38" t="s">
        <v>74</v>
      </c>
      <c r="BA38" t="s">
        <v>74</v>
      </c>
      <c r="BB38">
        <v>95</v>
      </c>
      <c r="BC38">
        <v>102</v>
      </c>
      <c r="BD38" t="s">
        <v>74</v>
      </c>
      <c r="BE38" t="s">
        <v>74</v>
      </c>
      <c r="BF38" t="s">
        <v>74</v>
      </c>
      <c r="BG38" t="s">
        <v>74</v>
      </c>
      <c r="BH38" t="s">
        <v>74</v>
      </c>
      <c r="BI38">
        <v>8</v>
      </c>
      <c r="BJ38" t="s">
        <v>394</v>
      </c>
      <c r="BK38" t="s">
        <v>95</v>
      </c>
      <c r="BL38" t="s">
        <v>394</v>
      </c>
      <c r="BM38" t="s">
        <v>395</v>
      </c>
      <c r="BN38" t="s">
        <v>74</v>
      </c>
      <c r="BO38" t="s">
        <v>74</v>
      </c>
      <c r="BP38" t="s">
        <v>74</v>
      </c>
      <c r="BQ38" t="s">
        <v>74</v>
      </c>
      <c r="BR38" t="s">
        <v>98</v>
      </c>
      <c r="BS38" t="s">
        <v>457</v>
      </c>
      <c r="BT38" t="str">
        <f>HYPERLINK("https%3A%2F%2Fwww.webofscience.com%2Fwos%2Fwoscc%2Ffull-record%2FWOS:000224376000008","View Full Record in Web of Science")</f>
        <v>View Full Record in Web of Science</v>
      </c>
    </row>
    <row r="39" spans="1:72" x14ac:dyDescent="0.15">
      <c r="A39" t="s">
        <v>72</v>
      </c>
      <c r="B39" t="s">
        <v>458</v>
      </c>
      <c r="C39" t="s">
        <v>74</v>
      </c>
      <c r="D39" t="s">
        <v>372</v>
      </c>
      <c r="E39" t="s">
        <v>74</v>
      </c>
      <c r="F39" t="s">
        <v>458</v>
      </c>
      <c r="G39" t="s">
        <v>74</v>
      </c>
      <c r="H39" t="s">
        <v>74</v>
      </c>
      <c r="I39" t="s">
        <v>459</v>
      </c>
      <c r="J39" t="s">
        <v>374</v>
      </c>
      <c r="K39" t="s">
        <v>375</v>
      </c>
      <c r="L39" t="s">
        <v>74</v>
      </c>
      <c r="M39" t="s">
        <v>78</v>
      </c>
      <c r="N39" t="s">
        <v>79</v>
      </c>
      <c r="O39" t="s">
        <v>376</v>
      </c>
      <c r="P39" t="s">
        <v>377</v>
      </c>
      <c r="Q39" t="s">
        <v>378</v>
      </c>
      <c r="R39" t="s">
        <v>74</v>
      </c>
      <c r="S39" t="s">
        <v>379</v>
      </c>
      <c r="T39" t="s">
        <v>74</v>
      </c>
      <c r="U39" t="s">
        <v>460</v>
      </c>
      <c r="V39" t="s">
        <v>461</v>
      </c>
      <c r="W39" t="s">
        <v>462</v>
      </c>
      <c r="X39" t="s">
        <v>463</v>
      </c>
      <c r="Y39" t="s">
        <v>464</v>
      </c>
      <c r="Z39" t="s">
        <v>74</v>
      </c>
      <c r="AA39" t="s">
        <v>74</v>
      </c>
      <c r="AB39" t="s">
        <v>74</v>
      </c>
      <c r="AC39" t="s">
        <v>74</v>
      </c>
      <c r="AD39" t="s">
        <v>74</v>
      </c>
      <c r="AE39" t="s">
        <v>74</v>
      </c>
      <c r="AF39" t="s">
        <v>74</v>
      </c>
      <c r="AG39">
        <v>37</v>
      </c>
      <c r="AH39">
        <v>19</v>
      </c>
      <c r="AI39">
        <v>23</v>
      </c>
      <c r="AJ39">
        <v>0</v>
      </c>
      <c r="AK39">
        <v>4</v>
      </c>
      <c r="AL39" t="s">
        <v>387</v>
      </c>
      <c r="AM39" t="s">
        <v>388</v>
      </c>
      <c r="AN39" t="s">
        <v>389</v>
      </c>
      <c r="AO39" t="s">
        <v>390</v>
      </c>
      <c r="AP39" t="s">
        <v>74</v>
      </c>
      <c r="AQ39" t="s">
        <v>391</v>
      </c>
      <c r="AR39" t="s">
        <v>392</v>
      </c>
      <c r="AS39" t="s">
        <v>74</v>
      </c>
      <c r="AT39" t="s">
        <v>74</v>
      </c>
      <c r="AU39">
        <v>2003</v>
      </c>
      <c r="AV39">
        <v>79</v>
      </c>
      <c r="AW39" t="s">
        <v>74</v>
      </c>
      <c r="AX39" t="s">
        <v>74</v>
      </c>
      <c r="AY39" t="s">
        <v>74</v>
      </c>
      <c r="AZ39" t="s">
        <v>74</v>
      </c>
      <c r="BA39" t="s">
        <v>74</v>
      </c>
      <c r="BB39">
        <v>103</v>
      </c>
      <c r="BC39">
        <v>113</v>
      </c>
      <c r="BD39" t="s">
        <v>74</v>
      </c>
      <c r="BE39" t="s">
        <v>74</v>
      </c>
      <c r="BF39" t="s">
        <v>74</v>
      </c>
      <c r="BG39" t="s">
        <v>74</v>
      </c>
      <c r="BH39" t="s">
        <v>74</v>
      </c>
      <c r="BI39">
        <v>11</v>
      </c>
      <c r="BJ39" t="s">
        <v>394</v>
      </c>
      <c r="BK39" t="s">
        <v>95</v>
      </c>
      <c r="BL39" t="s">
        <v>394</v>
      </c>
      <c r="BM39" t="s">
        <v>395</v>
      </c>
      <c r="BN39" t="s">
        <v>74</v>
      </c>
      <c r="BO39" t="s">
        <v>74</v>
      </c>
      <c r="BP39" t="s">
        <v>74</v>
      </c>
      <c r="BQ39" t="s">
        <v>74</v>
      </c>
      <c r="BR39" t="s">
        <v>98</v>
      </c>
      <c r="BS39" t="s">
        <v>465</v>
      </c>
      <c r="BT39" t="str">
        <f>HYPERLINK("https%3A%2F%2Fwww.webofscience.com%2Fwos%2Fwoscc%2Ffull-record%2FWOS:000224376000009","View Full Record in Web of Science")</f>
        <v>View Full Record in Web of Science</v>
      </c>
    </row>
    <row r="40" spans="1:72" x14ac:dyDescent="0.15">
      <c r="A40" t="s">
        <v>72</v>
      </c>
      <c r="B40" t="s">
        <v>466</v>
      </c>
      <c r="C40" t="s">
        <v>74</v>
      </c>
      <c r="D40" t="s">
        <v>372</v>
      </c>
      <c r="E40" t="s">
        <v>74</v>
      </c>
      <c r="F40" t="s">
        <v>466</v>
      </c>
      <c r="G40" t="s">
        <v>74</v>
      </c>
      <c r="H40" t="s">
        <v>74</v>
      </c>
      <c r="I40" t="s">
        <v>467</v>
      </c>
      <c r="J40" t="s">
        <v>374</v>
      </c>
      <c r="K40" t="s">
        <v>375</v>
      </c>
      <c r="L40" t="s">
        <v>74</v>
      </c>
      <c r="M40" t="s">
        <v>78</v>
      </c>
      <c r="N40" t="s">
        <v>79</v>
      </c>
      <c r="O40" t="s">
        <v>376</v>
      </c>
      <c r="P40" t="s">
        <v>377</v>
      </c>
      <c r="Q40" t="s">
        <v>378</v>
      </c>
      <c r="R40" t="s">
        <v>74</v>
      </c>
      <c r="S40" t="s">
        <v>379</v>
      </c>
      <c r="T40" t="s">
        <v>74</v>
      </c>
      <c r="U40" t="s">
        <v>468</v>
      </c>
      <c r="V40" t="s">
        <v>469</v>
      </c>
      <c r="W40" t="s">
        <v>470</v>
      </c>
      <c r="X40" t="s">
        <v>471</v>
      </c>
      <c r="Y40" t="s">
        <v>472</v>
      </c>
      <c r="Z40" t="s">
        <v>473</v>
      </c>
      <c r="AA40" t="s">
        <v>474</v>
      </c>
      <c r="AB40" t="s">
        <v>74</v>
      </c>
      <c r="AC40" t="s">
        <v>74</v>
      </c>
      <c r="AD40" t="s">
        <v>74</v>
      </c>
      <c r="AE40" t="s">
        <v>74</v>
      </c>
      <c r="AF40" t="s">
        <v>74</v>
      </c>
      <c r="AG40">
        <v>55</v>
      </c>
      <c r="AH40">
        <v>12</v>
      </c>
      <c r="AI40">
        <v>12</v>
      </c>
      <c r="AJ40">
        <v>0</v>
      </c>
      <c r="AK40">
        <v>5</v>
      </c>
      <c r="AL40" t="s">
        <v>387</v>
      </c>
      <c r="AM40" t="s">
        <v>388</v>
      </c>
      <c r="AN40" t="s">
        <v>389</v>
      </c>
      <c r="AO40" t="s">
        <v>390</v>
      </c>
      <c r="AP40" t="s">
        <v>74</v>
      </c>
      <c r="AQ40" t="s">
        <v>391</v>
      </c>
      <c r="AR40" t="s">
        <v>392</v>
      </c>
      <c r="AS40" t="s">
        <v>393</v>
      </c>
      <c r="AT40" t="s">
        <v>74</v>
      </c>
      <c r="AU40">
        <v>2003</v>
      </c>
      <c r="AV40">
        <v>79</v>
      </c>
      <c r="AW40" t="s">
        <v>74</v>
      </c>
      <c r="AX40" t="s">
        <v>74</v>
      </c>
      <c r="AY40" t="s">
        <v>74</v>
      </c>
      <c r="AZ40" t="s">
        <v>74</v>
      </c>
      <c r="BA40" t="s">
        <v>74</v>
      </c>
      <c r="BB40">
        <v>115</v>
      </c>
      <c r="BC40">
        <v>127</v>
      </c>
      <c r="BD40" t="s">
        <v>74</v>
      </c>
      <c r="BE40" t="s">
        <v>74</v>
      </c>
      <c r="BF40" t="s">
        <v>74</v>
      </c>
      <c r="BG40" t="s">
        <v>74</v>
      </c>
      <c r="BH40" t="s">
        <v>74</v>
      </c>
      <c r="BI40">
        <v>13</v>
      </c>
      <c r="BJ40" t="s">
        <v>394</v>
      </c>
      <c r="BK40" t="s">
        <v>95</v>
      </c>
      <c r="BL40" t="s">
        <v>394</v>
      </c>
      <c r="BM40" t="s">
        <v>395</v>
      </c>
      <c r="BN40" t="s">
        <v>74</v>
      </c>
      <c r="BO40" t="s">
        <v>74</v>
      </c>
      <c r="BP40" t="s">
        <v>74</v>
      </c>
      <c r="BQ40" t="s">
        <v>74</v>
      </c>
      <c r="BR40" t="s">
        <v>98</v>
      </c>
      <c r="BS40" t="s">
        <v>475</v>
      </c>
      <c r="BT40" t="str">
        <f>HYPERLINK("https%3A%2F%2Fwww.webofscience.com%2Fwos%2Fwoscc%2Ffull-record%2FWOS:000224376000010","View Full Record in Web of Science")</f>
        <v>View Full Record in Web of Science</v>
      </c>
    </row>
    <row r="41" spans="1:72" x14ac:dyDescent="0.15">
      <c r="A41" t="s">
        <v>72</v>
      </c>
      <c r="B41" t="s">
        <v>476</v>
      </c>
      <c r="C41" t="s">
        <v>74</v>
      </c>
      <c r="D41" t="s">
        <v>372</v>
      </c>
      <c r="E41" t="s">
        <v>74</v>
      </c>
      <c r="F41" t="s">
        <v>476</v>
      </c>
      <c r="G41" t="s">
        <v>74</v>
      </c>
      <c r="H41" t="s">
        <v>74</v>
      </c>
      <c r="I41" t="s">
        <v>477</v>
      </c>
      <c r="J41" t="s">
        <v>374</v>
      </c>
      <c r="K41" t="s">
        <v>375</v>
      </c>
      <c r="L41" t="s">
        <v>74</v>
      </c>
      <c r="M41" t="s">
        <v>78</v>
      </c>
      <c r="N41" t="s">
        <v>79</v>
      </c>
      <c r="O41" t="s">
        <v>376</v>
      </c>
      <c r="P41" t="s">
        <v>377</v>
      </c>
      <c r="Q41" t="s">
        <v>378</v>
      </c>
      <c r="R41" t="s">
        <v>74</v>
      </c>
      <c r="S41" t="s">
        <v>379</v>
      </c>
      <c r="T41" t="s">
        <v>74</v>
      </c>
      <c r="U41" t="s">
        <v>478</v>
      </c>
      <c r="V41" t="s">
        <v>479</v>
      </c>
      <c r="W41" t="s">
        <v>480</v>
      </c>
      <c r="X41" t="s">
        <v>481</v>
      </c>
      <c r="Y41" t="s">
        <v>482</v>
      </c>
      <c r="Z41" t="s">
        <v>74</v>
      </c>
      <c r="AA41" t="s">
        <v>74</v>
      </c>
      <c r="AB41" t="s">
        <v>483</v>
      </c>
      <c r="AC41" t="s">
        <v>74</v>
      </c>
      <c r="AD41" t="s">
        <v>74</v>
      </c>
      <c r="AE41" t="s">
        <v>74</v>
      </c>
      <c r="AF41" t="s">
        <v>74</v>
      </c>
      <c r="AG41">
        <v>62</v>
      </c>
      <c r="AH41">
        <v>18</v>
      </c>
      <c r="AI41">
        <v>23</v>
      </c>
      <c r="AJ41">
        <v>1</v>
      </c>
      <c r="AK41">
        <v>10</v>
      </c>
      <c r="AL41" t="s">
        <v>387</v>
      </c>
      <c r="AM41" t="s">
        <v>388</v>
      </c>
      <c r="AN41" t="s">
        <v>389</v>
      </c>
      <c r="AO41" t="s">
        <v>390</v>
      </c>
      <c r="AP41" t="s">
        <v>74</v>
      </c>
      <c r="AQ41" t="s">
        <v>391</v>
      </c>
      <c r="AR41" t="s">
        <v>392</v>
      </c>
      <c r="AS41" t="s">
        <v>393</v>
      </c>
      <c r="AT41" t="s">
        <v>74</v>
      </c>
      <c r="AU41">
        <v>2003</v>
      </c>
      <c r="AV41">
        <v>79</v>
      </c>
      <c r="AW41" t="s">
        <v>74</v>
      </c>
      <c r="AX41" t="s">
        <v>74</v>
      </c>
      <c r="AY41" t="s">
        <v>74</v>
      </c>
      <c r="AZ41" t="s">
        <v>74</v>
      </c>
      <c r="BA41" t="s">
        <v>74</v>
      </c>
      <c r="BB41">
        <v>131</v>
      </c>
      <c r="BC41">
        <v>144</v>
      </c>
      <c r="BD41" t="s">
        <v>74</v>
      </c>
      <c r="BE41" t="s">
        <v>74</v>
      </c>
      <c r="BF41" t="s">
        <v>74</v>
      </c>
      <c r="BG41" t="s">
        <v>74</v>
      </c>
      <c r="BH41" t="s">
        <v>74</v>
      </c>
      <c r="BI41">
        <v>14</v>
      </c>
      <c r="BJ41" t="s">
        <v>394</v>
      </c>
      <c r="BK41" t="s">
        <v>95</v>
      </c>
      <c r="BL41" t="s">
        <v>394</v>
      </c>
      <c r="BM41" t="s">
        <v>395</v>
      </c>
      <c r="BN41" t="s">
        <v>74</v>
      </c>
      <c r="BO41" t="s">
        <v>74</v>
      </c>
      <c r="BP41" t="s">
        <v>74</v>
      </c>
      <c r="BQ41" t="s">
        <v>74</v>
      </c>
      <c r="BR41" t="s">
        <v>98</v>
      </c>
      <c r="BS41" t="s">
        <v>484</v>
      </c>
      <c r="BT41" t="str">
        <f>HYPERLINK("https%3A%2F%2Fwww.webofscience.com%2Fwos%2Fwoscc%2Ffull-record%2FWOS:000224376000011","View Full Record in Web of Science")</f>
        <v>View Full Record in Web of Science</v>
      </c>
    </row>
    <row r="42" spans="1:72" x14ac:dyDescent="0.15">
      <c r="A42" t="s">
        <v>72</v>
      </c>
      <c r="B42" t="s">
        <v>485</v>
      </c>
      <c r="C42" t="s">
        <v>74</v>
      </c>
      <c r="D42" t="s">
        <v>372</v>
      </c>
      <c r="E42" t="s">
        <v>74</v>
      </c>
      <c r="F42" t="s">
        <v>485</v>
      </c>
      <c r="G42" t="s">
        <v>74</v>
      </c>
      <c r="H42" t="s">
        <v>74</v>
      </c>
      <c r="I42" t="s">
        <v>486</v>
      </c>
      <c r="J42" t="s">
        <v>374</v>
      </c>
      <c r="K42" t="s">
        <v>375</v>
      </c>
      <c r="L42" t="s">
        <v>74</v>
      </c>
      <c r="M42" t="s">
        <v>78</v>
      </c>
      <c r="N42" t="s">
        <v>79</v>
      </c>
      <c r="O42" t="s">
        <v>376</v>
      </c>
      <c r="P42" t="s">
        <v>377</v>
      </c>
      <c r="Q42" t="s">
        <v>378</v>
      </c>
      <c r="R42" t="s">
        <v>74</v>
      </c>
      <c r="S42" t="s">
        <v>379</v>
      </c>
      <c r="T42" t="s">
        <v>74</v>
      </c>
      <c r="U42" t="s">
        <v>487</v>
      </c>
      <c r="V42" t="s">
        <v>488</v>
      </c>
      <c r="W42" t="s">
        <v>238</v>
      </c>
      <c r="X42" t="s">
        <v>239</v>
      </c>
      <c r="Y42" t="s">
        <v>489</v>
      </c>
      <c r="Z42" t="s">
        <v>74</v>
      </c>
      <c r="AA42" t="s">
        <v>490</v>
      </c>
      <c r="AB42" t="s">
        <v>491</v>
      </c>
      <c r="AC42" t="s">
        <v>74</v>
      </c>
      <c r="AD42" t="s">
        <v>74</v>
      </c>
      <c r="AE42" t="s">
        <v>74</v>
      </c>
      <c r="AF42" t="s">
        <v>74</v>
      </c>
      <c r="AG42">
        <v>141</v>
      </c>
      <c r="AH42">
        <v>55</v>
      </c>
      <c r="AI42">
        <v>59</v>
      </c>
      <c r="AJ42">
        <v>0</v>
      </c>
      <c r="AK42">
        <v>14</v>
      </c>
      <c r="AL42" t="s">
        <v>387</v>
      </c>
      <c r="AM42" t="s">
        <v>388</v>
      </c>
      <c r="AN42" t="s">
        <v>389</v>
      </c>
      <c r="AO42" t="s">
        <v>390</v>
      </c>
      <c r="AP42" t="s">
        <v>74</v>
      </c>
      <c r="AQ42" t="s">
        <v>391</v>
      </c>
      <c r="AR42" t="s">
        <v>392</v>
      </c>
      <c r="AS42" t="s">
        <v>393</v>
      </c>
      <c r="AT42" t="s">
        <v>74</v>
      </c>
      <c r="AU42">
        <v>2003</v>
      </c>
      <c r="AV42">
        <v>79</v>
      </c>
      <c r="AW42" t="s">
        <v>74</v>
      </c>
      <c r="AX42" t="s">
        <v>74</v>
      </c>
      <c r="AY42" t="s">
        <v>74</v>
      </c>
      <c r="AZ42" t="s">
        <v>74</v>
      </c>
      <c r="BA42" t="s">
        <v>74</v>
      </c>
      <c r="BB42">
        <v>145</v>
      </c>
      <c r="BC42">
        <v>158</v>
      </c>
      <c r="BD42" t="s">
        <v>74</v>
      </c>
      <c r="BE42" t="s">
        <v>74</v>
      </c>
      <c r="BF42" t="s">
        <v>74</v>
      </c>
      <c r="BG42" t="s">
        <v>74</v>
      </c>
      <c r="BH42" t="s">
        <v>74</v>
      </c>
      <c r="BI42">
        <v>14</v>
      </c>
      <c r="BJ42" t="s">
        <v>394</v>
      </c>
      <c r="BK42" t="s">
        <v>95</v>
      </c>
      <c r="BL42" t="s">
        <v>394</v>
      </c>
      <c r="BM42" t="s">
        <v>395</v>
      </c>
      <c r="BN42" t="s">
        <v>74</v>
      </c>
      <c r="BO42" t="s">
        <v>74</v>
      </c>
      <c r="BP42" t="s">
        <v>74</v>
      </c>
      <c r="BQ42" t="s">
        <v>74</v>
      </c>
      <c r="BR42" t="s">
        <v>98</v>
      </c>
      <c r="BS42" t="s">
        <v>492</v>
      </c>
      <c r="BT42" t="str">
        <f>HYPERLINK("https%3A%2F%2Fwww.webofscience.com%2Fwos%2Fwoscc%2Ffull-record%2FWOS:000224376000012","View Full Record in Web of Science")</f>
        <v>View Full Record in Web of Science</v>
      </c>
    </row>
    <row r="43" spans="1:72" x14ac:dyDescent="0.15">
      <c r="A43" t="s">
        <v>72</v>
      </c>
      <c r="B43" t="s">
        <v>493</v>
      </c>
      <c r="C43" t="s">
        <v>74</v>
      </c>
      <c r="D43" t="s">
        <v>372</v>
      </c>
      <c r="E43" t="s">
        <v>74</v>
      </c>
      <c r="F43" t="s">
        <v>493</v>
      </c>
      <c r="G43" t="s">
        <v>74</v>
      </c>
      <c r="H43" t="s">
        <v>74</v>
      </c>
      <c r="I43" t="s">
        <v>494</v>
      </c>
      <c r="J43" t="s">
        <v>374</v>
      </c>
      <c r="K43" t="s">
        <v>375</v>
      </c>
      <c r="L43" t="s">
        <v>74</v>
      </c>
      <c r="M43" t="s">
        <v>78</v>
      </c>
      <c r="N43" t="s">
        <v>79</v>
      </c>
      <c r="O43" t="s">
        <v>376</v>
      </c>
      <c r="P43" t="s">
        <v>377</v>
      </c>
      <c r="Q43" t="s">
        <v>378</v>
      </c>
      <c r="R43" t="s">
        <v>74</v>
      </c>
      <c r="S43" t="s">
        <v>379</v>
      </c>
      <c r="T43" t="s">
        <v>74</v>
      </c>
      <c r="U43" t="s">
        <v>495</v>
      </c>
      <c r="V43" t="s">
        <v>496</v>
      </c>
      <c r="W43" t="s">
        <v>238</v>
      </c>
      <c r="X43" t="s">
        <v>239</v>
      </c>
      <c r="Y43" t="s">
        <v>497</v>
      </c>
      <c r="Z43" t="s">
        <v>74</v>
      </c>
      <c r="AA43" t="s">
        <v>498</v>
      </c>
      <c r="AB43" t="s">
        <v>499</v>
      </c>
      <c r="AC43" t="s">
        <v>74</v>
      </c>
      <c r="AD43" t="s">
        <v>74</v>
      </c>
      <c r="AE43" t="s">
        <v>74</v>
      </c>
      <c r="AF43" t="s">
        <v>74</v>
      </c>
      <c r="AG43">
        <v>61</v>
      </c>
      <c r="AH43">
        <v>22</v>
      </c>
      <c r="AI43">
        <v>23</v>
      </c>
      <c r="AJ43">
        <v>0</v>
      </c>
      <c r="AK43">
        <v>8</v>
      </c>
      <c r="AL43" t="s">
        <v>387</v>
      </c>
      <c r="AM43" t="s">
        <v>388</v>
      </c>
      <c r="AN43" t="s">
        <v>389</v>
      </c>
      <c r="AO43" t="s">
        <v>390</v>
      </c>
      <c r="AP43" t="s">
        <v>74</v>
      </c>
      <c r="AQ43" t="s">
        <v>391</v>
      </c>
      <c r="AR43" t="s">
        <v>392</v>
      </c>
      <c r="AS43" t="s">
        <v>393</v>
      </c>
      <c r="AT43" t="s">
        <v>74</v>
      </c>
      <c r="AU43">
        <v>2003</v>
      </c>
      <c r="AV43">
        <v>79</v>
      </c>
      <c r="AW43" t="s">
        <v>74</v>
      </c>
      <c r="AX43" t="s">
        <v>74</v>
      </c>
      <c r="AY43" t="s">
        <v>74</v>
      </c>
      <c r="AZ43" t="s">
        <v>74</v>
      </c>
      <c r="BA43" t="s">
        <v>74</v>
      </c>
      <c r="BB43">
        <v>159</v>
      </c>
      <c r="BC43">
        <v>170</v>
      </c>
      <c r="BD43" t="s">
        <v>74</v>
      </c>
      <c r="BE43" t="s">
        <v>74</v>
      </c>
      <c r="BF43" t="s">
        <v>74</v>
      </c>
      <c r="BG43" t="s">
        <v>74</v>
      </c>
      <c r="BH43" t="s">
        <v>74</v>
      </c>
      <c r="BI43">
        <v>12</v>
      </c>
      <c r="BJ43" t="s">
        <v>394</v>
      </c>
      <c r="BK43" t="s">
        <v>95</v>
      </c>
      <c r="BL43" t="s">
        <v>394</v>
      </c>
      <c r="BM43" t="s">
        <v>395</v>
      </c>
      <c r="BN43" t="s">
        <v>74</v>
      </c>
      <c r="BO43" t="s">
        <v>74</v>
      </c>
      <c r="BP43" t="s">
        <v>74</v>
      </c>
      <c r="BQ43" t="s">
        <v>74</v>
      </c>
      <c r="BR43" t="s">
        <v>98</v>
      </c>
      <c r="BS43" t="s">
        <v>500</v>
      </c>
      <c r="BT43" t="str">
        <f>HYPERLINK("https%3A%2F%2Fwww.webofscience.com%2Fwos%2Fwoscc%2Ffull-record%2FWOS:000224376000013","View Full Record in Web of Science")</f>
        <v>View Full Record in Web of Science</v>
      </c>
    </row>
    <row r="44" spans="1:72" x14ac:dyDescent="0.15">
      <c r="A44" t="s">
        <v>72</v>
      </c>
      <c r="B44" t="s">
        <v>501</v>
      </c>
      <c r="C44" t="s">
        <v>74</v>
      </c>
      <c r="D44" t="s">
        <v>372</v>
      </c>
      <c r="E44" t="s">
        <v>74</v>
      </c>
      <c r="F44" t="s">
        <v>501</v>
      </c>
      <c r="G44" t="s">
        <v>74</v>
      </c>
      <c r="H44" t="s">
        <v>74</v>
      </c>
      <c r="I44" t="s">
        <v>502</v>
      </c>
      <c r="J44" t="s">
        <v>374</v>
      </c>
      <c r="K44" t="s">
        <v>375</v>
      </c>
      <c r="L44" t="s">
        <v>74</v>
      </c>
      <c r="M44" t="s">
        <v>78</v>
      </c>
      <c r="N44" t="s">
        <v>79</v>
      </c>
      <c r="O44" t="s">
        <v>376</v>
      </c>
      <c r="P44" t="s">
        <v>377</v>
      </c>
      <c r="Q44" t="s">
        <v>378</v>
      </c>
      <c r="R44" t="s">
        <v>74</v>
      </c>
      <c r="S44" t="s">
        <v>379</v>
      </c>
      <c r="T44" t="s">
        <v>74</v>
      </c>
      <c r="U44" t="s">
        <v>503</v>
      </c>
      <c r="V44" t="s">
        <v>504</v>
      </c>
      <c r="W44" t="s">
        <v>505</v>
      </c>
      <c r="X44" t="s">
        <v>506</v>
      </c>
      <c r="Y44" t="s">
        <v>507</v>
      </c>
      <c r="Z44" t="s">
        <v>74</v>
      </c>
      <c r="AA44" t="s">
        <v>74</v>
      </c>
      <c r="AB44" t="s">
        <v>74</v>
      </c>
      <c r="AC44" t="s">
        <v>74</v>
      </c>
      <c r="AD44" t="s">
        <v>74</v>
      </c>
      <c r="AE44" t="s">
        <v>74</v>
      </c>
      <c r="AF44" t="s">
        <v>74</v>
      </c>
      <c r="AG44">
        <v>26</v>
      </c>
      <c r="AH44">
        <v>12</v>
      </c>
      <c r="AI44">
        <v>12</v>
      </c>
      <c r="AJ44">
        <v>0</v>
      </c>
      <c r="AK44">
        <v>7</v>
      </c>
      <c r="AL44" t="s">
        <v>387</v>
      </c>
      <c r="AM44" t="s">
        <v>388</v>
      </c>
      <c r="AN44" t="s">
        <v>389</v>
      </c>
      <c r="AO44" t="s">
        <v>390</v>
      </c>
      <c r="AP44" t="s">
        <v>74</v>
      </c>
      <c r="AQ44" t="s">
        <v>391</v>
      </c>
      <c r="AR44" t="s">
        <v>392</v>
      </c>
      <c r="AS44" t="s">
        <v>74</v>
      </c>
      <c r="AT44" t="s">
        <v>74</v>
      </c>
      <c r="AU44">
        <v>2003</v>
      </c>
      <c r="AV44">
        <v>79</v>
      </c>
      <c r="AW44" t="s">
        <v>74</v>
      </c>
      <c r="AX44" t="s">
        <v>74</v>
      </c>
      <c r="AY44" t="s">
        <v>74</v>
      </c>
      <c r="AZ44" t="s">
        <v>74</v>
      </c>
      <c r="BA44" t="s">
        <v>74</v>
      </c>
      <c r="BB44">
        <v>171</v>
      </c>
      <c r="BC44">
        <v>180</v>
      </c>
      <c r="BD44" t="s">
        <v>74</v>
      </c>
      <c r="BE44" t="s">
        <v>74</v>
      </c>
      <c r="BF44" t="s">
        <v>74</v>
      </c>
      <c r="BG44" t="s">
        <v>74</v>
      </c>
      <c r="BH44" t="s">
        <v>74</v>
      </c>
      <c r="BI44">
        <v>10</v>
      </c>
      <c r="BJ44" t="s">
        <v>394</v>
      </c>
      <c r="BK44" t="s">
        <v>95</v>
      </c>
      <c r="BL44" t="s">
        <v>394</v>
      </c>
      <c r="BM44" t="s">
        <v>395</v>
      </c>
      <c r="BN44" t="s">
        <v>74</v>
      </c>
      <c r="BO44" t="s">
        <v>74</v>
      </c>
      <c r="BP44" t="s">
        <v>74</v>
      </c>
      <c r="BQ44" t="s">
        <v>74</v>
      </c>
      <c r="BR44" t="s">
        <v>98</v>
      </c>
      <c r="BS44" t="s">
        <v>508</v>
      </c>
      <c r="BT44" t="str">
        <f>HYPERLINK("https%3A%2F%2Fwww.webofscience.com%2Fwos%2Fwoscc%2Ffull-record%2FWOS:000224376000014","View Full Record in Web of Science")</f>
        <v>View Full Record in Web of Science</v>
      </c>
    </row>
    <row r="45" spans="1:72" x14ac:dyDescent="0.15">
      <c r="A45" t="s">
        <v>72</v>
      </c>
      <c r="B45" t="s">
        <v>509</v>
      </c>
      <c r="C45" t="s">
        <v>74</v>
      </c>
      <c r="D45" t="s">
        <v>372</v>
      </c>
      <c r="E45" t="s">
        <v>74</v>
      </c>
      <c r="F45" t="s">
        <v>509</v>
      </c>
      <c r="G45" t="s">
        <v>74</v>
      </c>
      <c r="H45" t="s">
        <v>74</v>
      </c>
      <c r="I45" t="s">
        <v>510</v>
      </c>
      <c r="J45" t="s">
        <v>374</v>
      </c>
      <c r="K45" t="s">
        <v>375</v>
      </c>
      <c r="L45" t="s">
        <v>74</v>
      </c>
      <c r="M45" t="s">
        <v>78</v>
      </c>
      <c r="N45" t="s">
        <v>79</v>
      </c>
      <c r="O45" t="s">
        <v>376</v>
      </c>
      <c r="P45" t="s">
        <v>377</v>
      </c>
      <c r="Q45" t="s">
        <v>378</v>
      </c>
      <c r="R45" t="s">
        <v>74</v>
      </c>
      <c r="S45" t="s">
        <v>379</v>
      </c>
      <c r="T45" t="s">
        <v>74</v>
      </c>
      <c r="U45" t="s">
        <v>511</v>
      </c>
      <c r="V45" t="s">
        <v>512</v>
      </c>
      <c r="W45" t="s">
        <v>513</v>
      </c>
      <c r="X45" t="s">
        <v>514</v>
      </c>
      <c r="Y45" t="s">
        <v>515</v>
      </c>
      <c r="Z45" t="s">
        <v>74</v>
      </c>
      <c r="AA45" t="s">
        <v>516</v>
      </c>
      <c r="AB45" t="s">
        <v>517</v>
      </c>
      <c r="AC45" t="s">
        <v>74</v>
      </c>
      <c r="AD45" t="s">
        <v>74</v>
      </c>
      <c r="AE45" t="s">
        <v>74</v>
      </c>
      <c r="AF45" t="s">
        <v>74</v>
      </c>
      <c r="AG45">
        <v>42</v>
      </c>
      <c r="AH45">
        <v>10</v>
      </c>
      <c r="AI45">
        <v>10</v>
      </c>
      <c r="AJ45">
        <v>0</v>
      </c>
      <c r="AK45">
        <v>3</v>
      </c>
      <c r="AL45" t="s">
        <v>387</v>
      </c>
      <c r="AM45" t="s">
        <v>388</v>
      </c>
      <c r="AN45" t="s">
        <v>389</v>
      </c>
      <c r="AO45" t="s">
        <v>390</v>
      </c>
      <c r="AP45" t="s">
        <v>74</v>
      </c>
      <c r="AQ45" t="s">
        <v>391</v>
      </c>
      <c r="AR45" t="s">
        <v>392</v>
      </c>
      <c r="AS45" t="s">
        <v>74</v>
      </c>
      <c r="AT45" t="s">
        <v>74</v>
      </c>
      <c r="AU45">
        <v>2003</v>
      </c>
      <c r="AV45">
        <v>79</v>
      </c>
      <c r="AW45" t="s">
        <v>74</v>
      </c>
      <c r="AX45" t="s">
        <v>74</v>
      </c>
      <c r="AY45" t="s">
        <v>74</v>
      </c>
      <c r="AZ45" t="s">
        <v>74</v>
      </c>
      <c r="BA45" t="s">
        <v>74</v>
      </c>
      <c r="BB45">
        <v>183</v>
      </c>
      <c r="BC45">
        <v>194</v>
      </c>
      <c r="BD45" t="s">
        <v>74</v>
      </c>
      <c r="BE45" t="s">
        <v>74</v>
      </c>
      <c r="BF45" t="s">
        <v>74</v>
      </c>
      <c r="BG45" t="s">
        <v>74</v>
      </c>
      <c r="BH45" t="s">
        <v>74</v>
      </c>
      <c r="BI45">
        <v>12</v>
      </c>
      <c r="BJ45" t="s">
        <v>394</v>
      </c>
      <c r="BK45" t="s">
        <v>95</v>
      </c>
      <c r="BL45" t="s">
        <v>394</v>
      </c>
      <c r="BM45" t="s">
        <v>395</v>
      </c>
      <c r="BN45" t="s">
        <v>74</v>
      </c>
      <c r="BO45" t="s">
        <v>74</v>
      </c>
      <c r="BP45" t="s">
        <v>74</v>
      </c>
      <c r="BQ45" t="s">
        <v>74</v>
      </c>
      <c r="BR45" t="s">
        <v>98</v>
      </c>
      <c r="BS45" t="s">
        <v>518</v>
      </c>
      <c r="BT45" t="str">
        <f>HYPERLINK("https%3A%2F%2Fwww.webofscience.com%2Fwos%2Fwoscc%2Ffull-record%2FWOS:000224376000015","View Full Record in Web of Science")</f>
        <v>View Full Record in Web of Science</v>
      </c>
    </row>
    <row r="46" spans="1:72" x14ac:dyDescent="0.15">
      <c r="A46" t="s">
        <v>72</v>
      </c>
      <c r="B46" t="s">
        <v>519</v>
      </c>
      <c r="C46" t="s">
        <v>74</v>
      </c>
      <c r="D46" t="s">
        <v>372</v>
      </c>
      <c r="E46" t="s">
        <v>74</v>
      </c>
      <c r="F46" t="s">
        <v>519</v>
      </c>
      <c r="G46" t="s">
        <v>74</v>
      </c>
      <c r="H46" t="s">
        <v>74</v>
      </c>
      <c r="I46" t="s">
        <v>520</v>
      </c>
      <c r="J46" t="s">
        <v>374</v>
      </c>
      <c r="K46" t="s">
        <v>375</v>
      </c>
      <c r="L46" t="s">
        <v>74</v>
      </c>
      <c r="M46" t="s">
        <v>78</v>
      </c>
      <c r="N46" t="s">
        <v>79</v>
      </c>
      <c r="O46" t="s">
        <v>376</v>
      </c>
      <c r="P46" t="s">
        <v>377</v>
      </c>
      <c r="Q46" t="s">
        <v>378</v>
      </c>
      <c r="R46" t="s">
        <v>74</v>
      </c>
      <c r="S46" t="s">
        <v>379</v>
      </c>
      <c r="T46" t="s">
        <v>74</v>
      </c>
      <c r="U46" t="s">
        <v>521</v>
      </c>
      <c r="V46" t="s">
        <v>522</v>
      </c>
      <c r="W46" t="s">
        <v>523</v>
      </c>
      <c r="X46" t="s">
        <v>524</v>
      </c>
      <c r="Y46" t="s">
        <v>525</v>
      </c>
      <c r="Z46" t="s">
        <v>526</v>
      </c>
      <c r="AA46" t="s">
        <v>527</v>
      </c>
      <c r="AB46" t="s">
        <v>528</v>
      </c>
      <c r="AC46" t="s">
        <v>74</v>
      </c>
      <c r="AD46" t="s">
        <v>74</v>
      </c>
      <c r="AE46" t="s">
        <v>74</v>
      </c>
      <c r="AF46" t="s">
        <v>74</v>
      </c>
      <c r="AG46">
        <v>45</v>
      </c>
      <c r="AH46">
        <v>26</v>
      </c>
      <c r="AI46">
        <v>27</v>
      </c>
      <c r="AJ46">
        <v>0</v>
      </c>
      <c r="AK46">
        <v>2</v>
      </c>
      <c r="AL46" t="s">
        <v>387</v>
      </c>
      <c r="AM46" t="s">
        <v>388</v>
      </c>
      <c r="AN46" t="s">
        <v>389</v>
      </c>
      <c r="AO46" t="s">
        <v>390</v>
      </c>
      <c r="AP46" t="s">
        <v>74</v>
      </c>
      <c r="AQ46" t="s">
        <v>391</v>
      </c>
      <c r="AR46" t="s">
        <v>392</v>
      </c>
      <c r="AS46" t="s">
        <v>393</v>
      </c>
      <c r="AT46" t="s">
        <v>74</v>
      </c>
      <c r="AU46">
        <v>2003</v>
      </c>
      <c r="AV46">
        <v>79</v>
      </c>
      <c r="AW46" t="s">
        <v>74</v>
      </c>
      <c r="AX46" t="s">
        <v>74</v>
      </c>
      <c r="AY46" t="s">
        <v>74</v>
      </c>
      <c r="AZ46" t="s">
        <v>74</v>
      </c>
      <c r="BA46" t="s">
        <v>74</v>
      </c>
      <c r="BB46">
        <v>195</v>
      </c>
      <c r="BC46">
        <v>204</v>
      </c>
      <c r="BD46" t="s">
        <v>74</v>
      </c>
      <c r="BE46" t="s">
        <v>74</v>
      </c>
      <c r="BF46" t="s">
        <v>74</v>
      </c>
      <c r="BG46" t="s">
        <v>74</v>
      </c>
      <c r="BH46" t="s">
        <v>74</v>
      </c>
      <c r="BI46">
        <v>10</v>
      </c>
      <c r="BJ46" t="s">
        <v>394</v>
      </c>
      <c r="BK46" t="s">
        <v>95</v>
      </c>
      <c r="BL46" t="s">
        <v>394</v>
      </c>
      <c r="BM46" t="s">
        <v>395</v>
      </c>
      <c r="BN46" t="s">
        <v>74</v>
      </c>
      <c r="BO46" t="s">
        <v>74</v>
      </c>
      <c r="BP46" t="s">
        <v>74</v>
      </c>
      <c r="BQ46" t="s">
        <v>74</v>
      </c>
      <c r="BR46" t="s">
        <v>98</v>
      </c>
      <c r="BS46" t="s">
        <v>529</v>
      </c>
      <c r="BT46" t="str">
        <f>HYPERLINK("https%3A%2F%2Fwww.webofscience.com%2Fwos%2Fwoscc%2Ffull-record%2FWOS:000224376000016","View Full Record in Web of Science")</f>
        <v>View Full Record in Web of Science</v>
      </c>
    </row>
    <row r="47" spans="1:72" x14ac:dyDescent="0.15">
      <c r="A47" t="s">
        <v>72</v>
      </c>
      <c r="B47" t="s">
        <v>530</v>
      </c>
      <c r="C47" t="s">
        <v>74</v>
      </c>
      <c r="D47" t="s">
        <v>372</v>
      </c>
      <c r="E47" t="s">
        <v>74</v>
      </c>
      <c r="F47" t="s">
        <v>530</v>
      </c>
      <c r="G47" t="s">
        <v>74</v>
      </c>
      <c r="H47" t="s">
        <v>74</v>
      </c>
      <c r="I47" t="s">
        <v>531</v>
      </c>
      <c r="J47" t="s">
        <v>374</v>
      </c>
      <c r="K47" t="s">
        <v>375</v>
      </c>
      <c r="L47" t="s">
        <v>74</v>
      </c>
      <c r="M47" t="s">
        <v>78</v>
      </c>
      <c r="N47" t="s">
        <v>79</v>
      </c>
      <c r="O47" t="s">
        <v>376</v>
      </c>
      <c r="P47" t="s">
        <v>377</v>
      </c>
      <c r="Q47" t="s">
        <v>378</v>
      </c>
      <c r="R47" t="s">
        <v>74</v>
      </c>
      <c r="S47" t="s">
        <v>379</v>
      </c>
      <c r="T47" t="s">
        <v>74</v>
      </c>
      <c r="U47" t="s">
        <v>532</v>
      </c>
      <c r="V47" t="s">
        <v>533</v>
      </c>
      <c r="W47" t="s">
        <v>382</v>
      </c>
      <c r="X47" t="s">
        <v>383</v>
      </c>
      <c r="Y47" t="s">
        <v>384</v>
      </c>
      <c r="Z47" t="s">
        <v>534</v>
      </c>
      <c r="AA47" t="s">
        <v>74</v>
      </c>
      <c r="AB47" t="s">
        <v>74</v>
      </c>
      <c r="AC47" t="s">
        <v>74</v>
      </c>
      <c r="AD47" t="s">
        <v>74</v>
      </c>
      <c r="AE47" t="s">
        <v>74</v>
      </c>
      <c r="AF47" t="s">
        <v>74</v>
      </c>
      <c r="AG47">
        <v>82</v>
      </c>
      <c r="AH47">
        <v>51</v>
      </c>
      <c r="AI47">
        <v>59</v>
      </c>
      <c r="AJ47">
        <v>0</v>
      </c>
      <c r="AK47">
        <v>7</v>
      </c>
      <c r="AL47" t="s">
        <v>387</v>
      </c>
      <c r="AM47" t="s">
        <v>388</v>
      </c>
      <c r="AN47" t="s">
        <v>389</v>
      </c>
      <c r="AO47" t="s">
        <v>390</v>
      </c>
      <c r="AP47" t="s">
        <v>74</v>
      </c>
      <c r="AQ47" t="s">
        <v>391</v>
      </c>
      <c r="AR47" t="s">
        <v>392</v>
      </c>
      <c r="AS47" t="s">
        <v>393</v>
      </c>
      <c r="AT47" t="s">
        <v>74</v>
      </c>
      <c r="AU47">
        <v>2003</v>
      </c>
      <c r="AV47">
        <v>79</v>
      </c>
      <c r="AW47" t="s">
        <v>74</v>
      </c>
      <c r="AX47" t="s">
        <v>74</v>
      </c>
      <c r="AY47" t="s">
        <v>74</v>
      </c>
      <c r="AZ47" t="s">
        <v>74</v>
      </c>
      <c r="BA47" t="s">
        <v>74</v>
      </c>
      <c r="BB47">
        <v>205</v>
      </c>
      <c r="BC47">
        <v>224</v>
      </c>
      <c r="BD47" t="s">
        <v>74</v>
      </c>
      <c r="BE47" t="s">
        <v>74</v>
      </c>
      <c r="BF47" t="s">
        <v>74</v>
      </c>
      <c r="BG47" t="s">
        <v>74</v>
      </c>
      <c r="BH47" t="s">
        <v>74</v>
      </c>
      <c r="BI47">
        <v>20</v>
      </c>
      <c r="BJ47" t="s">
        <v>394</v>
      </c>
      <c r="BK47" t="s">
        <v>95</v>
      </c>
      <c r="BL47" t="s">
        <v>394</v>
      </c>
      <c r="BM47" t="s">
        <v>395</v>
      </c>
      <c r="BN47" t="s">
        <v>74</v>
      </c>
      <c r="BO47" t="s">
        <v>74</v>
      </c>
      <c r="BP47" t="s">
        <v>74</v>
      </c>
      <c r="BQ47" t="s">
        <v>74</v>
      </c>
      <c r="BR47" t="s">
        <v>98</v>
      </c>
      <c r="BS47" t="s">
        <v>535</v>
      </c>
      <c r="BT47" t="str">
        <f>HYPERLINK("https%3A%2F%2Fwww.webofscience.com%2Fwos%2Fwoscc%2Ffull-record%2FWOS:000224376000017","View Full Record in Web of Science")</f>
        <v>View Full Record in Web of Science</v>
      </c>
    </row>
    <row r="48" spans="1:72" x14ac:dyDescent="0.15">
      <c r="A48" t="s">
        <v>72</v>
      </c>
      <c r="B48" t="s">
        <v>536</v>
      </c>
      <c r="C48" t="s">
        <v>74</v>
      </c>
      <c r="D48" t="s">
        <v>372</v>
      </c>
      <c r="E48" t="s">
        <v>74</v>
      </c>
      <c r="F48" t="s">
        <v>536</v>
      </c>
      <c r="G48" t="s">
        <v>74</v>
      </c>
      <c r="H48" t="s">
        <v>74</v>
      </c>
      <c r="I48" t="s">
        <v>537</v>
      </c>
      <c r="J48" t="s">
        <v>374</v>
      </c>
      <c r="K48" t="s">
        <v>375</v>
      </c>
      <c r="L48" t="s">
        <v>74</v>
      </c>
      <c r="M48" t="s">
        <v>78</v>
      </c>
      <c r="N48" t="s">
        <v>79</v>
      </c>
      <c r="O48" t="s">
        <v>376</v>
      </c>
      <c r="P48" t="s">
        <v>377</v>
      </c>
      <c r="Q48" t="s">
        <v>378</v>
      </c>
      <c r="R48" t="s">
        <v>74</v>
      </c>
      <c r="S48" t="s">
        <v>379</v>
      </c>
      <c r="T48" t="s">
        <v>74</v>
      </c>
      <c r="U48" t="s">
        <v>538</v>
      </c>
      <c r="V48" t="s">
        <v>539</v>
      </c>
      <c r="W48" t="s">
        <v>540</v>
      </c>
      <c r="X48" t="s">
        <v>541</v>
      </c>
      <c r="Y48" t="s">
        <v>542</v>
      </c>
      <c r="Z48" t="s">
        <v>74</v>
      </c>
      <c r="AA48" t="s">
        <v>74</v>
      </c>
      <c r="AB48" t="s">
        <v>74</v>
      </c>
      <c r="AC48" t="s">
        <v>74</v>
      </c>
      <c r="AD48" t="s">
        <v>74</v>
      </c>
      <c r="AE48" t="s">
        <v>74</v>
      </c>
      <c r="AF48" t="s">
        <v>74</v>
      </c>
      <c r="AG48">
        <v>54</v>
      </c>
      <c r="AH48">
        <v>5</v>
      </c>
      <c r="AI48">
        <v>8</v>
      </c>
      <c r="AJ48">
        <v>0</v>
      </c>
      <c r="AK48">
        <v>0</v>
      </c>
      <c r="AL48" t="s">
        <v>387</v>
      </c>
      <c r="AM48" t="s">
        <v>388</v>
      </c>
      <c r="AN48" t="s">
        <v>389</v>
      </c>
      <c r="AO48" t="s">
        <v>390</v>
      </c>
      <c r="AP48" t="s">
        <v>74</v>
      </c>
      <c r="AQ48" t="s">
        <v>391</v>
      </c>
      <c r="AR48" t="s">
        <v>392</v>
      </c>
      <c r="AS48" t="s">
        <v>74</v>
      </c>
      <c r="AT48" t="s">
        <v>74</v>
      </c>
      <c r="AU48">
        <v>2003</v>
      </c>
      <c r="AV48">
        <v>79</v>
      </c>
      <c r="AW48" t="s">
        <v>74</v>
      </c>
      <c r="AX48" t="s">
        <v>74</v>
      </c>
      <c r="AY48" t="s">
        <v>74</v>
      </c>
      <c r="AZ48" t="s">
        <v>74</v>
      </c>
      <c r="BA48" t="s">
        <v>74</v>
      </c>
      <c r="BB48">
        <v>225</v>
      </c>
      <c r="BC48">
        <v>238</v>
      </c>
      <c r="BD48" t="s">
        <v>74</v>
      </c>
      <c r="BE48" t="s">
        <v>74</v>
      </c>
      <c r="BF48" t="s">
        <v>74</v>
      </c>
      <c r="BG48" t="s">
        <v>74</v>
      </c>
      <c r="BH48" t="s">
        <v>74</v>
      </c>
      <c r="BI48">
        <v>14</v>
      </c>
      <c r="BJ48" t="s">
        <v>394</v>
      </c>
      <c r="BK48" t="s">
        <v>95</v>
      </c>
      <c r="BL48" t="s">
        <v>394</v>
      </c>
      <c r="BM48" t="s">
        <v>395</v>
      </c>
      <c r="BN48" t="s">
        <v>74</v>
      </c>
      <c r="BO48" t="s">
        <v>74</v>
      </c>
      <c r="BP48" t="s">
        <v>74</v>
      </c>
      <c r="BQ48" t="s">
        <v>74</v>
      </c>
      <c r="BR48" t="s">
        <v>98</v>
      </c>
      <c r="BS48" t="s">
        <v>543</v>
      </c>
      <c r="BT48" t="str">
        <f>HYPERLINK("https%3A%2F%2Fwww.webofscience.com%2Fwos%2Fwoscc%2Ffull-record%2FWOS:000224376000018","View Full Record in Web of Science")</f>
        <v>View Full Record in Web of Science</v>
      </c>
    </row>
    <row r="49" spans="1:72" x14ac:dyDescent="0.15">
      <c r="A49" t="s">
        <v>72</v>
      </c>
      <c r="B49" t="s">
        <v>544</v>
      </c>
      <c r="C49" t="s">
        <v>74</v>
      </c>
      <c r="D49" t="s">
        <v>372</v>
      </c>
      <c r="E49" t="s">
        <v>74</v>
      </c>
      <c r="F49" t="s">
        <v>544</v>
      </c>
      <c r="G49" t="s">
        <v>74</v>
      </c>
      <c r="H49" t="s">
        <v>74</v>
      </c>
      <c r="I49" t="s">
        <v>545</v>
      </c>
      <c r="J49" t="s">
        <v>374</v>
      </c>
      <c r="K49" t="s">
        <v>375</v>
      </c>
      <c r="L49" t="s">
        <v>74</v>
      </c>
      <c r="M49" t="s">
        <v>78</v>
      </c>
      <c r="N49" t="s">
        <v>79</v>
      </c>
      <c r="O49" t="s">
        <v>376</v>
      </c>
      <c r="P49" t="s">
        <v>377</v>
      </c>
      <c r="Q49" t="s">
        <v>378</v>
      </c>
      <c r="R49" t="s">
        <v>74</v>
      </c>
      <c r="S49" t="s">
        <v>379</v>
      </c>
      <c r="T49" t="s">
        <v>74</v>
      </c>
      <c r="U49" t="s">
        <v>546</v>
      </c>
      <c r="V49" t="s">
        <v>547</v>
      </c>
      <c r="W49" t="s">
        <v>548</v>
      </c>
      <c r="X49" t="s">
        <v>549</v>
      </c>
      <c r="Y49" t="s">
        <v>550</v>
      </c>
      <c r="Z49" t="s">
        <v>74</v>
      </c>
      <c r="AA49" t="s">
        <v>74</v>
      </c>
      <c r="AB49" t="s">
        <v>74</v>
      </c>
      <c r="AC49" t="s">
        <v>74</v>
      </c>
      <c r="AD49" t="s">
        <v>74</v>
      </c>
      <c r="AE49" t="s">
        <v>74</v>
      </c>
      <c r="AF49" t="s">
        <v>74</v>
      </c>
      <c r="AG49">
        <v>48</v>
      </c>
      <c r="AH49">
        <v>25</v>
      </c>
      <c r="AI49">
        <v>31</v>
      </c>
      <c r="AJ49">
        <v>0</v>
      </c>
      <c r="AK49">
        <v>2</v>
      </c>
      <c r="AL49" t="s">
        <v>387</v>
      </c>
      <c r="AM49" t="s">
        <v>388</v>
      </c>
      <c r="AN49" t="s">
        <v>389</v>
      </c>
      <c r="AO49" t="s">
        <v>390</v>
      </c>
      <c r="AP49" t="s">
        <v>74</v>
      </c>
      <c r="AQ49" t="s">
        <v>391</v>
      </c>
      <c r="AR49" t="s">
        <v>392</v>
      </c>
      <c r="AS49" t="s">
        <v>393</v>
      </c>
      <c r="AT49" t="s">
        <v>74</v>
      </c>
      <c r="AU49">
        <v>2003</v>
      </c>
      <c r="AV49">
        <v>79</v>
      </c>
      <c r="AW49" t="s">
        <v>74</v>
      </c>
      <c r="AX49" t="s">
        <v>74</v>
      </c>
      <c r="AY49" t="s">
        <v>74</v>
      </c>
      <c r="AZ49" t="s">
        <v>74</v>
      </c>
      <c r="BA49" t="s">
        <v>74</v>
      </c>
      <c r="BB49">
        <v>239</v>
      </c>
      <c r="BC49">
        <v>260</v>
      </c>
      <c r="BD49" t="s">
        <v>74</v>
      </c>
      <c r="BE49" t="s">
        <v>74</v>
      </c>
      <c r="BF49" t="s">
        <v>74</v>
      </c>
      <c r="BG49" t="s">
        <v>74</v>
      </c>
      <c r="BH49" t="s">
        <v>74</v>
      </c>
      <c r="BI49">
        <v>22</v>
      </c>
      <c r="BJ49" t="s">
        <v>394</v>
      </c>
      <c r="BK49" t="s">
        <v>95</v>
      </c>
      <c r="BL49" t="s">
        <v>394</v>
      </c>
      <c r="BM49" t="s">
        <v>395</v>
      </c>
      <c r="BN49" t="s">
        <v>74</v>
      </c>
      <c r="BO49" t="s">
        <v>74</v>
      </c>
      <c r="BP49" t="s">
        <v>74</v>
      </c>
      <c r="BQ49" t="s">
        <v>74</v>
      </c>
      <c r="BR49" t="s">
        <v>98</v>
      </c>
      <c r="BS49" t="s">
        <v>551</v>
      </c>
      <c r="BT49" t="str">
        <f>HYPERLINK("https%3A%2F%2Fwww.webofscience.com%2Fwos%2Fwoscc%2Ffull-record%2FWOS:000224376000019","View Full Record in Web of Science")</f>
        <v>View Full Record in Web of Science</v>
      </c>
    </row>
    <row r="50" spans="1:72" x14ac:dyDescent="0.15">
      <c r="A50" t="s">
        <v>552</v>
      </c>
      <c r="B50" t="s">
        <v>553</v>
      </c>
      <c r="C50" t="s">
        <v>74</v>
      </c>
      <c r="D50" t="s">
        <v>74</v>
      </c>
      <c r="E50" t="s">
        <v>74</v>
      </c>
      <c r="F50" t="s">
        <v>553</v>
      </c>
      <c r="G50" t="s">
        <v>74</v>
      </c>
      <c r="H50" t="s">
        <v>74</v>
      </c>
      <c r="I50" t="s">
        <v>554</v>
      </c>
      <c r="J50" t="s">
        <v>555</v>
      </c>
      <c r="K50" t="s">
        <v>74</v>
      </c>
      <c r="L50" t="s">
        <v>74</v>
      </c>
      <c r="M50" t="s">
        <v>78</v>
      </c>
      <c r="N50" t="s">
        <v>556</v>
      </c>
      <c r="O50" t="s">
        <v>74</v>
      </c>
      <c r="P50" t="s">
        <v>74</v>
      </c>
      <c r="Q50" t="s">
        <v>74</v>
      </c>
      <c r="R50" t="s">
        <v>74</v>
      </c>
      <c r="S50" t="s">
        <v>74</v>
      </c>
      <c r="T50" t="s">
        <v>74</v>
      </c>
      <c r="U50" t="s">
        <v>74</v>
      </c>
      <c r="V50" t="s">
        <v>74</v>
      </c>
      <c r="W50" t="s">
        <v>557</v>
      </c>
      <c r="X50" t="s">
        <v>558</v>
      </c>
      <c r="Y50" t="s">
        <v>559</v>
      </c>
      <c r="Z50" t="s">
        <v>74</v>
      </c>
      <c r="AA50" t="s">
        <v>74</v>
      </c>
      <c r="AB50" t="s">
        <v>74</v>
      </c>
      <c r="AC50" t="s">
        <v>74</v>
      </c>
      <c r="AD50" t="s">
        <v>74</v>
      </c>
      <c r="AE50" t="s">
        <v>74</v>
      </c>
      <c r="AF50" t="s">
        <v>74</v>
      </c>
      <c r="AG50">
        <v>0</v>
      </c>
      <c r="AH50">
        <v>0</v>
      </c>
      <c r="AI50">
        <v>0</v>
      </c>
      <c r="AJ50">
        <v>0</v>
      </c>
      <c r="AK50">
        <v>3</v>
      </c>
      <c r="AL50" t="s">
        <v>560</v>
      </c>
      <c r="AM50" t="s">
        <v>561</v>
      </c>
      <c r="AN50" t="s">
        <v>562</v>
      </c>
      <c r="AO50" t="s">
        <v>563</v>
      </c>
      <c r="AP50" t="s">
        <v>74</v>
      </c>
      <c r="AQ50" t="s">
        <v>74</v>
      </c>
      <c r="AR50" t="s">
        <v>564</v>
      </c>
      <c r="AS50" t="s">
        <v>565</v>
      </c>
      <c r="AT50" t="s">
        <v>566</v>
      </c>
      <c r="AU50">
        <v>2003</v>
      </c>
      <c r="AV50">
        <v>15</v>
      </c>
      <c r="AW50">
        <v>1</v>
      </c>
      <c r="AX50" t="s">
        <v>74</v>
      </c>
      <c r="AY50" t="s">
        <v>74</v>
      </c>
      <c r="AZ50" t="s">
        <v>74</v>
      </c>
      <c r="BA50" t="s">
        <v>74</v>
      </c>
      <c r="BB50">
        <v>1</v>
      </c>
      <c r="BC50">
        <v>1</v>
      </c>
      <c r="BD50" t="s">
        <v>74</v>
      </c>
      <c r="BE50" t="s">
        <v>567</v>
      </c>
      <c r="BF50" t="str">
        <f>HYPERLINK("http://dx.doi.org/10.1017/S0954102003001172","http://dx.doi.org/10.1017/S0954102003001172")</f>
        <v>http://dx.doi.org/10.1017/S0954102003001172</v>
      </c>
      <c r="BG50" t="s">
        <v>74</v>
      </c>
      <c r="BH50" t="s">
        <v>74</v>
      </c>
      <c r="BI50">
        <v>1</v>
      </c>
      <c r="BJ50" t="s">
        <v>568</v>
      </c>
      <c r="BK50" t="s">
        <v>569</v>
      </c>
      <c r="BL50" t="s">
        <v>570</v>
      </c>
      <c r="BM50" t="s">
        <v>571</v>
      </c>
      <c r="BN50" t="s">
        <v>74</v>
      </c>
      <c r="BO50" t="s">
        <v>572</v>
      </c>
      <c r="BP50" t="s">
        <v>74</v>
      </c>
      <c r="BQ50" t="s">
        <v>74</v>
      </c>
      <c r="BR50" t="s">
        <v>98</v>
      </c>
      <c r="BS50" t="s">
        <v>573</v>
      </c>
      <c r="BT50" t="str">
        <f>HYPERLINK("https%3A%2F%2Fwww.webofscience.com%2Fwos%2Fwoscc%2Ffull-record%2FWOS:000181701700001","View Full Record in Web of Science")</f>
        <v>View Full Record in Web of Science</v>
      </c>
    </row>
    <row r="51" spans="1:72" x14ac:dyDescent="0.15">
      <c r="A51" t="s">
        <v>552</v>
      </c>
      <c r="B51" t="s">
        <v>574</v>
      </c>
      <c r="C51" t="s">
        <v>74</v>
      </c>
      <c r="D51" t="s">
        <v>74</v>
      </c>
      <c r="E51" t="s">
        <v>74</v>
      </c>
      <c r="F51" t="s">
        <v>574</v>
      </c>
      <c r="G51" t="s">
        <v>74</v>
      </c>
      <c r="H51" t="s">
        <v>74</v>
      </c>
      <c r="I51" t="s">
        <v>575</v>
      </c>
      <c r="J51" t="s">
        <v>555</v>
      </c>
      <c r="K51" t="s">
        <v>74</v>
      </c>
      <c r="L51" t="s">
        <v>74</v>
      </c>
      <c r="M51" t="s">
        <v>78</v>
      </c>
      <c r="N51" t="s">
        <v>576</v>
      </c>
      <c r="O51" t="s">
        <v>577</v>
      </c>
      <c r="P51" t="s">
        <v>578</v>
      </c>
      <c r="Q51" t="s">
        <v>579</v>
      </c>
      <c r="R51" t="s">
        <v>74</v>
      </c>
      <c r="S51" t="s">
        <v>74</v>
      </c>
      <c r="T51" t="s">
        <v>580</v>
      </c>
      <c r="U51" t="s">
        <v>581</v>
      </c>
      <c r="V51" t="s">
        <v>582</v>
      </c>
      <c r="W51" t="s">
        <v>583</v>
      </c>
      <c r="X51" t="s">
        <v>584</v>
      </c>
      <c r="Y51" t="s">
        <v>585</v>
      </c>
      <c r="Z51" t="s">
        <v>586</v>
      </c>
      <c r="AA51" t="s">
        <v>74</v>
      </c>
      <c r="AB51" t="s">
        <v>587</v>
      </c>
      <c r="AC51" t="s">
        <v>74</v>
      </c>
      <c r="AD51" t="s">
        <v>74</v>
      </c>
      <c r="AE51" t="s">
        <v>74</v>
      </c>
      <c r="AF51" t="s">
        <v>74</v>
      </c>
      <c r="AG51">
        <v>31</v>
      </c>
      <c r="AH51">
        <v>59</v>
      </c>
      <c r="AI51">
        <v>67</v>
      </c>
      <c r="AJ51">
        <v>1</v>
      </c>
      <c r="AK51">
        <v>20</v>
      </c>
      <c r="AL51" t="s">
        <v>560</v>
      </c>
      <c r="AM51" t="s">
        <v>561</v>
      </c>
      <c r="AN51" t="s">
        <v>562</v>
      </c>
      <c r="AO51" t="s">
        <v>563</v>
      </c>
      <c r="AP51" t="s">
        <v>74</v>
      </c>
      <c r="AQ51" t="s">
        <v>74</v>
      </c>
      <c r="AR51" t="s">
        <v>564</v>
      </c>
      <c r="AS51" t="s">
        <v>565</v>
      </c>
      <c r="AT51" t="s">
        <v>566</v>
      </c>
      <c r="AU51">
        <v>2003</v>
      </c>
      <c r="AV51">
        <v>15</v>
      </c>
      <c r="AW51">
        <v>1</v>
      </c>
      <c r="AX51" t="s">
        <v>74</v>
      </c>
      <c r="AY51" t="s">
        <v>74</v>
      </c>
      <c r="AZ51" t="s">
        <v>74</v>
      </c>
      <c r="BA51" t="s">
        <v>74</v>
      </c>
      <c r="BB51">
        <v>3</v>
      </c>
      <c r="BC51">
        <v>11</v>
      </c>
      <c r="BD51" t="s">
        <v>74</v>
      </c>
      <c r="BE51" t="s">
        <v>588</v>
      </c>
      <c r="BF51" t="str">
        <f>HYPERLINK("http://dx.doi.org/10.1017/S0954102003001007","http://dx.doi.org/10.1017/S0954102003001007")</f>
        <v>http://dx.doi.org/10.1017/S0954102003001007</v>
      </c>
      <c r="BG51" t="s">
        <v>74</v>
      </c>
      <c r="BH51" t="s">
        <v>74</v>
      </c>
      <c r="BI51">
        <v>9</v>
      </c>
      <c r="BJ51" t="s">
        <v>568</v>
      </c>
      <c r="BK51" t="s">
        <v>589</v>
      </c>
      <c r="BL51" t="s">
        <v>570</v>
      </c>
      <c r="BM51" t="s">
        <v>571</v>
      </c>
      <c r="BN51" t="s">
        <v>74</v>
      </c>
      <c r="BO51" t="s">
        <v>590</v>
      </c>
      <c r="BP51" t="s">
        <v>74</v>
      </c>
      <c r="BQ51" t="s">
        <v>74</v>
      </c>
      <c r="BR51" t="s">
        <v>98</v>
      </c>
      <c r="BS51" t="s">
        <v>591</v>
      </c>
      <c r="BT51" t="str">
        <f>HYPERLINK("https%3A%2F%2Fwww.webofscience.com%2Fwos%2Fwoscc%2Ffull-record%2FWOS:000181701700002","View Full Record in Web of Science")</f>
        <v>View Full Record in Web of Science</v>
      </c>
    </row>
    <row r="52" spans="1:72" x14ac:dyDescent="0.15">
      <c r="A52" t="s">
        <v>552</v>
      </c>
      <c r="B52" t="s">
        <v>592</v>
      </c>
      <c r="C52" t="s">
        <v>74</v>
      </c>
      <c r="D52" t="s">
        <v>74</v>
      </c>
      <c r="E52" t="s">
        <v>74</v>
      </c>
      <c r="F52" t="s">
        <v>592</v>
      </c>
      <c r="G52" t="s">
        <v>74</v>
      </c>
      <c r="H52" t="s">
        <v>74</v>
      </c>
      <c r="I52" t="s">
        <v>593</v>
      </c>
      <c r="J52" t="s">
        <v>555</v>
      </c>
      <c r="K52" t="s">
        <v>74</v>
      </c>
      <c r="L52" t="s">
        <v>74</v>
      </c>
      <c r="M52" t="s">
        <v>78</v>
      </c>
      <c r="N52" t="s">
        <v>576</v>
      </c>
      <c r="O52" t="s">
        <v>577</v>
      </c>
      <c r="P52" t="s">
        <v>578</v>
      </c>
      <c r="Q52" t="s">
        <v>579</v>
      </c>
      <c r="R52" t="s">
        <v>74</v>
      </c>
      <c r="S52" t="s">
        <v>74</v>
      </c>
      <c r="T52" t="s">
        <v>594</v>
      </c>
      <c r="U52" t="s">
        <v>595</v>
      </c>
      <c r="V52" t="s">
        <v>596</v>
      </c>
      <c r="W52" t="s">
        <v>597</v>
      </c>
      <c r="X52" t="s">
        <v>598</v>
      </c>
      <c r="Y52" t="s">
        <v>599</v>
      </c>
      <c r="Z52" t="s">
        <v>600</v>
      </c>
      <c r="AA52" t="s">
        <v>601</v>
      </c>
      <c r="AB52" t="s">
        <v>602</v>
      </c>
      <c r="AC52" t="s">
        <v>74</v>
      </c>
      <c r="AD52" t="s">
        <v>74</v>
      </c>
      <c r="AE52" t="s">
        <v>74</v>
      </c>
      <c r="AF52" t="s">
        <v>74</v>
      </c>
      <c r="AG52">
        <v>59</v>
      </c>
      <c r="AH52">
        <v>64</v>
      </c>
      <c r="AI52">
        <v>74</v>
      </c>
      <c r="AJ52">
        <v>1</v>
      </c>
      <c r="AK52">
        <v>17</v>
      </c>
      <c r="AL52" t="s">
        <v>560</v>
      </c>
      <c r="AM52" t="s">
        <v>561</v>
      </c>
      <c r="AN52" t="s">
        <v>603</v>
      </c>
      <c r="AO52" t="s">
        <v>563</v>
      </c>
      <c r="AP52" t="s">
        <v>74</v>
      </c>
      <c r="AQ52" t="s">
        <v>74</v>
      </c>
      <c r="AR52" t="s">
        <v>564</v>
      </c>
      <c r="AS52" t="s">
        <v>565</v>
      </c>
      <c r="AT52" t="s">
        <v>566</v>
      </c>
      <c r="AU52">
        <v>2003</v>
      </c>
      <c r="AV52">
        <v>15</v>
      </c>
      <c r="AW52">
        <v>1</v>
      </c>
      <c r="AX52" t="s">
        <v>74</v>
      </c>
      <c r="AY52" t="s">
        <v>74</v>
      </c>
      <c r="AZ52" t="s">
        <v>74</v>
      </c>
      <c r="BA52" t="s">
        <v>74</v>
      </c>
      <c r="BB52">
        <v>13</v>
      </c>
      <c r="BC52">
        <v>23</v>
      </c>
      <c r="BD52" t="s">
        <v>74</v>
      </c>
      <c r="BE52" t="s">
        <v>604</v>
      </c>
      <c r="BF52" t="str">
        <f>HYPERLINK("http://dx.doi.org/10.1017/S0954102003001019","http://dx.doi.org/10.1017/S0954102003001019")</f>
        <v>http://dx.doi.org/10.1017/S0954102003001019</v>
      </c>
      <c r="BG52" t="s">
        <v>74</v>
      </c>
      <c r="BH52" t="s">
        <v>74</v>
      </c>
      <c r="BI52">
        <v>11</v>
      </c>
      <c r="BJ52" t="s">
        <v>568</v>
      </c>
      <c r="BK52" t="s">
        <v>605</v>
      </c>
      <c r="BL52" t="s">
        <v>570</v>
      </c>
      <c r="BM52" t="s">
        <v>571</v>
      </c>
      <c r="BN52" t="s">
        <v>74</v>
      </c>
      <c r="BO52" t="s">
        <v>74</v>
      </c>
      <c r="BP52" t="s">
        <v>74</v>
      </c>
      <c r="BQ52" t="s">
        <v>74</v>
      </c>
      <c r="BR52" t="s">
        <v>98</v>
      </c>
      <c r="BS52" t="s">
        <v>606</v>
      </c>
      <c r="BT52" t="str">
        <f>HYPERLINK("https%3A%2F%2Fwww.webofscience.com%2Fwos%2Fwoscc%2Ffull-record%2FWOS:000181701700003","View Full Record in Web of Science")</f>
        <v>View Full Record in Web of Science</v>
      </c>
    </row>
    <row r="53" spans="1:72" x14ac:dyDescent="0.15">
      <c r="A53" t="s">
        <v>552</v>
      </c>
      <c r="B53" t="s">
        <v>607</v>
      </c>
      <c r="C53" t="s">
        <v>74</v>
      </c>
      <c r="D53" t="s">
        <v>74</v>
      </c>
      <c r="E53" t="s">
        <v>74</v>
      </c>
      <c r="F53" t="s">
        <v>607</v>
      </c>
      <c r="G53" t="s">
        <v>74</v>
      </c>
      <c r="H53" t="s">
        <v>74</v>
      </c>
      <c r="I53" t="s">
        <v>608</v>
      </c>
      <c r="J53" t="s">
        <v>555</v>
      </c>
      <c r="K53" t="s">
        <v>74</v>
      </c>
      <c r="L53" t="s">
        <v>74</v>
      </c>
      <c r="M53" t="s">
        <v>78</v>
      </c>
      <c r="N53" t="s">
        <v>576</v>
      </c>
      <c r="O53" t="s">
        <v>577</v>
      </c>
      <c r="P53" t="s">
        <v>578</v>
      </c>
      <c r="Q53" t="s">
        <v>579</v>
      </c>
      <c r="R53" t="s">
        <v>74</v>
      </c>
      <c r="S53" t="s">
        <v>74</v>
      </c>
      <c r="T53" t="s">
        <v>609</v>
      </c>
      <c r="U53" t="s">
        <v>610</v>
      </c>
      <c r="V53" t="s">
        <v>611</v>
      </c>
      <c r="W53" t="s">
        <v>612</v>
      </c>
      <c r="X53" t="s">
        <v>613</v>
      </c>
      <c r="Y53" t="s">
        <v>614</v>
      </c>
      <c r="Z53" t="s">
        <v>615</v>
      </c>
      <c r="AA53" t="s">
        <v>74</v>
      </c>
      <c r="AB53" t="s">
        <v>616</v>
      </c>
      <c r="AC53" t="s">
        <v>74</v>
      </c>
      <c r="AD53" t="s">
        <v>74</v>
      </c>
      <c r="AE53" t="s">
        <v>74</v>
      </c>
      <c r="AF53" t="s">
        <v>74</v>
      </c>
      <c r="AG53">
        <v>20</v>
      </c>
      <c r="AH53">
        <v>16</v>
      </c>
      <c r="AI53">
        <v>16</v>
      </c>
      <c r="AJ53">
        <v>1</v>
      </c>
      <c r="AK53">
        <v>5</v>
      </c>
      <c r="AL53" t="s">
        <v>560</v>
      </c>
      <c r="AM53" t="s">
        <v>561</v>
      </c>
      <c r="AN53" t="s">
        <v>562</v>
      </c>
      <c r="AO53" t="s">
        <v>563</v>
      </c>
      <c r="AP53" t="s">
        <v>74</v>
      </c>
      <c r="AQ53" t="s">
        <v>74</v>
      </c>
      <c r="AR53" t="s">
        <v>564</v>
      </c>
      <c r="AS53" t="s">
        <v>565</v>
      </c>
      <c r="AT53" t="s">
        <v>566</v>
      </c>
      <c r="AU53">
        <v>2003</v>
      </c>
      <c r="AV53">
        <v>15</v>
      </c>
      <c r="AW53">
        <v>1</v>
      </c>
      <c r="AX53" t="s">
        <v>74</v>
      </c>
      <c r="AY53" t="s">
        <v>74</v>
      </c>
      <c r="AZ53" t="s">
        <v>74</v>
      </c>
      <c r="BA53" t="s">
        <v>74</v>
      </c>
      <c r="BB53">
        <v>25</v>
      </c>
      <c r="BC53">
        <v>30</v>
      </c>
      <c r="BD53" t="s">
        <v>74</v>
      </c>
      <c r="BE53" t="s">
        <v>617</v>
      </c>
      <c r="BF53" t="str">
        <f>HYPERLINK("http://dx.doi.org/10.1017/S0954102003001020","http://dx.doi.org/10.1017/S0954102003001020")</f>
        <v>http://dx.doi.org/10.1017/S0954102003001020</v>
      </c>
      <c r="BG53" t="s">
        <v>74</v>
      </c>
      <c r="BH53" t="s">
        <v>74</v>
      </c>
      <c r="BI53">
        <v>6</v>
      </c>
      <c r="BJ53" t="s">
        <v>568</v>
      </c>
      <c r="BK53" t="s">
        <v>589</v>
      </c>
      <c r="BL53" t="s">
        <v>570</v>
      </c>
      <c r="BM53" t="s">
        <v>571</v>
      </c>
      <c r="BN53" t="s">
        <v>74</v>
      </c>
      <c r="BO53" t="s">
        <v>74</v>
      </c>
      <c r="BP53" t="s">
        <v>74</v>
      </c>
      <c r="BQ53" t="s">
        <v>74</v>
      </c>
      <c r="BR53" t="s">
        <v>98</v>
      </c>
      <c r="BS53" t="s">
        <v>618</v>
      </c>
      <c r="BT53" t="str">
        <f>HYPERLINK("https%3A%2F%2Fwww.webofscience.com%2Fwos%2Fwoscc%2Ffull-record%2FWOS:000181701700004","View Full Record in Web of Science")</f>
        <v>View Full Record in Web of Science</v>
      </c>
    </row>
    <row r="54" spans="1:72" x14ac:dyDescent="0.15">
      <c r="A54" t="s">
        <v>552</v>
      </c>
      <c r="B54" t="s">
        <v>619</v>
      </c>
      <c r="C54" t="s">
        <v>74</v>
      </c>
      <c r="D54" t="s">
        <v>74</v>
      </c>
      <c r="E54" t="s">
        <v>74</v>
      </c>
      <c r="F54" t="s">
        <v>619</v>
      </c>
      <c r="G54" t="s">
        <v>74</v>
      </c>
      <c r="H54" t="s">
        <v>74</v>
      </c>
      <c r="I54" t="s">
        <v>620</v>
      </c>
      <c r="J54" t="s">
        <v>555</v>
      </c>
      <c r="K54" t="s">
        <v>74</v>
      </c>
      <c r="L54" t="s">
        <v>74</v>
      </c>
      <c r="M54" t="s">
        <v>78</v>
      </c>
      <c r="N54" t="s">
        <v>576</v>
      </c>
      <c r="O54" t="s">
        <v>577</v>
      </c>
      <c r="P54" t="s">
        <v>578</v>
      </c>
      <c r="Q54" t="s">
        <v>579</v>
      </c>
      <c r="R54" t="s">
        <v>74</v>
      </c>
      <c r="S54" t="s">
        <v>74</v>
      </c>
      <c r="T54" t="s">
        <v>621</v>
      </c>
      <c r="U54" t="s">
        <v>622</v>
      </c>
      <c r="V54" t="s">
        <v>623</v>
      </c>
      <c r="W54" t="s">
        <v>624</v>
      </c>
      <c r="X54" t="s">
        <v>625</v>
      </c>
      <c r="Y54" t="s">
        <v>626</v>
      </c>
      <c r="Z54" t="s">
        <v>627</v>
      </c>
      <c r="AA54" t="s">
        <v>628</v>
      </c>
      <c r="AB54" t="s">
        <v>629</v>
      </c>
      <c r="AC54" t="s">
        <v>74</v>
      </c>
      <c r="AD54" t="s">
        <v>74</v>
      </c>
      <c r="AE54" t="s">
        <v>74</v>
      </c>
      <c r="AF54" t="s">
        <v>74</v>
      </c>
      <c r="AG54">
        <v>34</v>
      </c>
      <c r="AH54">
        <v>82</v>
      </c>
      <c r="AI54">
        <v>92</v>
      </c>
      <c r="AJ54">
        <v>2</v>
      </c>
      <c r="AK54">
        <v>17</v>
      </c>
      <c r="AL54" t="s">
        <v>560</v>
      </c>
      <c r="AM54" t="s">
        <v>561</v>
      </c>
      <c r="AN54" t="s">
        <v>562</v>
      </c>
      <c r="AO54" t="s">
        <v>563</v>
      </c>
      <c r="AP54" t="s">
        <v>74</v>
      </c>
      <c r="AQ54" t="s">
        <v>74</v>
      </c>
      <c r="AR54" t="s">
        <v>564</v>
      </c>
      <c r="AS54" t="s">
        <v>565</v>
      </c>
      <c r="AT54" t="s">
        <v>566</v>
      </c>
      <c r="AU54">
        <v>2003</v>
      </c>
      <c r="AV54">
        <v>15</v>
      </c>
      <c r="AW54">
        <v>1</v>
      </c>
      <c r="AX54" t="s">
        <v>74</v>
      </c>
      <c r="AY54" t="s">
        <v>74</v>
      </c>
      <c r="AZ54" t="s">
        <v>74</v>
      </c>
      <c r="BA54" t="s">
        <v>74</v>
      </c>
      <c r="BB54">
        <v>31</v>
      </c>
      <c r="BC54">
        <v>40</v>
      </c>
      <c r="BD54" t="s">
        <v>74</v>
      </c>
      <c r="BE54" t="s">
        <v>630</v>
      </c>
      <c r="BF54" t="str">
        <f>HYPERLINK("http://dx.doi.org/10.1017/S0954102003001032","http://dx.doi.org/10.1017/S0954102003001032")</f>
        <v>http://dx.doi.org/10.1017/S0954102003001032</v>
      </c>
      <c r="BG54" t="s">
        <v>74</v>
      </c>
      <c r="BH54" t="s">
        <v>74</v>
      </c>
      <c r="BI54">
        <v>10</v>
      </c>
      <c r="BJ54" t="s">
        <v>568</v>
      </c>
      <c r="BK54" t="s">
        <v>589</v>
      </c>
      <c r="BL54" t="s">
        <v>570</v>
      </c>
      <c r="BM54" t="s">
        <v>571</v>
      </c>
      <c r="BN54" t="s">
        <v>74</v>
      </c>
      <c r="BO54" t="s">
        <v>74</v>
      </c>
      <c r="BP54" t="s">
        <v>74</v>
      </c>
      <c r="BQ54" t="s">
        <v>74</v>
      </c>
      <c r="BR54" t="s">
        <v>98</v>
      </c>
      <c r="BS54" t="s">
        <v>631</v>
      </c>
      <c r="BT54" t="str">
        <f>HYPERLINK("https%3A%2F%2Fwww.webofscience.com%2Fwos%2Fwoscc%2Ffull-record%2FWOS:000181701700005","View Full Record in Web of Science")</f>
        <v>View Full Record in Web of Science</v>
      </c>
    </row>
    <row r="55" spans="1:72" x14ac:dyDescent="0.15">
      <c r="A55" t="s">
        <v>552</v>
      </c>
      <c r="B55" t="s">
        <v>632</v>
      </c>
      <c r="C55" t="s">
        <v>74</v>
      </c>
      <c r="D55" t="s">
        <v>74</v>
      </c>
      <c r="E55" t="s">
        <v>74</v>
      </c>
      <c r="F55" t="s">
        <v>632</v>
      </c>
      <c r="G55" t="s">
        <v>74</v>
      </c>
      <c r="H55" t="s">
        <v>74</v>
      </c>
      <c r="I55" t="s">
        <v>633</v>
      </c>
      <c r="J55" t="s">
        <v>555</v>
      </c>
      <c r="K55" t="s">
        <v>74</v>
      </c>
      <c r="L55" t="s">
        <v>74</v>
      </c>
      <c r="M55" t="s">
        <v>78</v>
      </c>
      <c r="N55" t="s">
        <v>576</v>
      </c>
      <c r="O55" t="s">
        <v>577</v>
      </c>
      <c r="P55" t="s">
        <v>578</v>
      </c>
      <c r="Q55" t="s">
        <v>579</v>
      </c>
      <c r="R55" t="s">
        <v>74</v>
      </c>
      <c r="S55" t="s">
        <v>74</v>
      </c>
      <c r="T55" t="s">
        <v>634</v>
      </c>
      <c r="U55" t="s">
        <v>635</v>
      </c>
      <c r="V55" t="s">
        <v>636</v>
      </c>
      <c r="W55" t="s">
        <v>583</v>
      </c>
      <c r="X55" t="s">
        <v>584</v>
      </c>
      <c r="Y55" t="s">
        <v>637</v>
      </c>
      <c r="Z55" t="s">
        <v>638</v>
      </c>
      <c r="AA55" t="s">
        <v>639</v>
      </c>
      <c r="AB55" t="s">
        <v>587</v>
      </c>
      <c r="AC55" t="s">
        <v>74</v>
      </c>
      <c r="AD55" t="s">
        <v>74</v>
      </c>
      <c r="AE55" t="s">
        <v>74</v>
      </c>
      <c r="AF55" t="s">
        <v>74</v>
      </c>
      <c r="AG55">
        <v>28</v>
      </c>
      <c r="AH55">
        <v>22</v>
      </c>
      <c r="AI55">
        <v>24</v>
      </c>
      <c r="AJ55">
        <v>0</v>
      </c>
      <c r="AK55">
        <v>5</v>
      </c>
      <c r="AL55" t="s">
        <v>560</v>
      </c>
      <c r="AM55" t="s">
        <v>561</v>
      </c>
      <c r="AN55" t="s">
        <v>603</v>
      </c>
      <c r="AO55" t="s">
        <v>563</v>
      </c>
      <c r="AP55" t="s">
        <v>640</v>
      </c>
      <c r="AQ55" t="s">
        <v>74</v>
      </c>
      <c r="AR55" t="s">
        <v>564</v>
      </c>
      <c r="AS55" t="s">
        <v>565</v>
      </c>
      <c r="AT55" t="s">
        <v>566</v>
      </c>
      <c r="AU55">
        <v>2003</v>
      </c>
      <c r="AV55">
        <v>15</v>
      </c>
      <c r="AW55">
        <v>1</v>
      </c>
      <c r="AX55" t="s">
        <v>74</v>
      </c>
      <c r="AY55" t="s">
        <v>74</v>
      </c>
      <c r="AZ55" t="s">
        <v>74</v>
      </c>
      <c r="BA55" t="s">
        <v>74</v>
      </c>
      <c r="BB55">
        <v>41</v>
      </c>
      <c r="BC55">
        <v>46</v>
      </c>
      <c r="BD55" t="s">
        <v>74</v>
      </c>
      <c r="BE55" t="s">
        <v>641</v>
      </c>
      <c r="BF55" t="str">
        <f>HYPERLINK("http://dx.doi.org/10.1017/S0954102003001044","http://dx.doi.org/10.1017/S0954102003001044")</f>
        <v>http://dx.doi.org/10.1017/S0954102003001044</v>
      </c>
      <c r="BG55" t="s">
        <v>74</v>
      </c>
      <c r="BH55" t="s">
        <v>74</v>
      </c>
      <c r="BI55">
        <v>6</v>
      </c>
      <c r="BJ55" t="s">
        <v>568</v>
      </c>
      <c r="BK55" t="s">
        <v>605</v>
      </c>
      <c r="BL55" t="s">
        <v>570</v>
      </c>
      <c r="BM55" t="s">
        <v>571</v>
      </c>
      <c r="BN55" t="s">
        <v>74</v>
      </c>
      <c r="BO55" t="s">
        <v>590</v>
      </c>
      <c r="BP55" t="s">
        <v>74</v>
      </c>
      <c r="BQ55" t="s">
        <v>74</v>
      </c>
      <c r="BR55" t="s">
        <v>98</v>
      </c>
      <c r="BS55" t="s">
        <v>642</v>
      </c>
      <c r="BT55" t="str">
        <f>HYPERLINK("https%3A%2F%2Fwww.webofscience.com%2Fwos%2Fwoscc%2Ffull-record%2FWOS:000181701700006","View Full Record in Web of Science")</f>
        <v>View Full Record in Web of Science</v>
      </c>
    </row>
    <row r="56" spans="1:72" x14ac:dyDescent="0.15">
      <c r="A56" t="s">
        <v>552</v>
      </c>
      <c r="B56" t="s">
        <v>643</v>
      </c>
      <c r="C56" t="s">
        <v>74</v>
      </c>
      <c r="D56" t="s">
        <v>74</v>
      </c>
      <c r="E56" t="s">
        <v>74</v>
      </c>
      <c r="F56" t="s">
        <v>643</v>
      </c>
      <c r="G56" t="s">
        <v>74</v>
      </c>
      <c r="H56" t="s">
        <v>74</v>
      </c>
      <c r="I56" t="s">
        <v>644</v>
      </c>
      <c r="J56" t="s">
        <v>555</v>
      </c>
      <c r="K56" t="s">
        <v>74</v>
      </c>
      <c r="L56" t="s">
        <v>74</v>
      </c>
      <c r="M56" t="s">
        <v>78</v>
      </c>
      <c r="N56" t="s">
        <v>576</v>
      </c>
      <c r="O56" t="s">
        <v>577</v>
      </c>
      <c r="P56" t="s">
        <v>578</v>
      </c>
      <c r="Q56" t="s">
        <v>579</v>
      </c>
      <c r="R56" t="s">
        <v>74</v>
      </c>
      <c r="S56" t="s">
        <v>74</v>
      </c>
      <c r="T56" t="s">
        <v>645</v>
      </c>
      <c r="U56" t="s">
        <v>646</v>
      </c>
      <c r="V56" t="s">
        <v>647</v>
      </c>
      <c r="W56" t="s">
        <v>648</v>
      </c>
      <c r="X56" t="s">
        <v>649</v>
      </c>
      <c r="Y56" t="s">
        <v>650</v>
      </c>
      <c r="Z56" t="s">
        <v>651</v>
      </c>
      <c r="AA56" t="s">
        <v>652</v>
      </c>
      <c r="AB56" t="s">
        <v>653</v>
      </c>
      <c r="AC56" t="s">
        <v>74</v>
      </c>
      <c r="AD56" t="s">
        <v>74</v>
      </c>
      <c r="AE56" t="s">
        <v>74</v>
      </c>
      <c r="AF56" t="s">
        <v>74</v>
      </c>
      <c r="AG56">
        <v>22</v>
      </c>
      <c r="AH56">
        <v>6</v>
      </c>
      <c r="AI56">
        <v>7</v>
      </c>
      <c r="AJ56">
        <v>0</v>
      </c>
      <c r="AK56">
        <v>2</v>
      </c>
      <c r="AL56" t="s">
        <v>560</v>
      </c>
      <c r="AM56" t="s">
        <v>561</v>
      </c>
      <c r="AN56" t="s">
        <v>562</v>
      </c>
      <c r="AO56" t="s">
        <v>563</v>
      </c>
      <c r="AP56" t="s">
        <v>74</v>
      </c>
      <c r="AQ56" t="s">
        <v>74</v>
      </c>
      <c r="AR56" t="s">
        <v>564</v>
      </c>
      <c r="AS56" t="s">
        <v>565</v>
      </c>
      <c r="AT56" t="s">
        <v>566</v>
      </c>
      <c r="AU56">
        <v>2003</v>
      </c>
      <c r="AV56">
        <v>15</v>
      </c>
      <c r="AW56">
        <v>1</v>
      </c>
      <c r="AX56" t="s">
        <v>74</v>
      </c>
      <c r="AY56" t="s">
        <v>74</v>
      </c>
      <c r="AZ56" t="s">
        <v>74</v>
      </c>
      <c r="BA56" t="s">
        <v>74</v>
      </c>
      <c r="BB56">
        <v>47</v>
      </c>
      <c r="BC56">
        <v>54</v>
      </c>
      <c r="BD56" t="s">
        <v>74</v>
      </c>
      <c r="BE56" t="s">
        <v>654</v>
      </c>
      <c r="BF56" t="str">
        <f>HYPERLINK("http://dx.doi.org/10.1017/S0954102003001056","http://dx.doi.org/10.1017/S0954102003001056")</f>
        <v>http://dx.doi.org/10.1017/S0954102003001056</v>
      </c>
      <c r="BG56" t="s">
        <v>74</v>
      </c>
      <c r="BH56" t="s">
        <v>74</v>
      </c>
      <c r="BI56">
        <v>8</v>
      </c>
      <c r="BJ56" t="s">
        <v>568</v>
      </c>
      <c r="BK56" t="s">
        <v>589</v>
      </c>
      <c r="BL56" t="s">
        <v>570</v>
      </c>
      <c r="BM56" t="s">
        <v>571</v>
      </c>
      <c r="BN56" t="s">
        <v>74</v>
      </c>
      <c r="BO56" t="s">
        <v>74</v>
      </c>
      <c r="BP56" t="s">
        <v>74</v>
      </c>
      <c r="BQ56" t="s">
        <v>74</v>
      </c>
      <c r="BR56" t="s">
        <v>98</v>
      </c>
      <c r="BS56" t="s">
        <v>655</v>
      </c>
      <c r="BT56" t="str">
        <f>HYPERLINK("https%3A%2F%2Fwww.webofscience.com%2Fwos%2Fwoscc%2Ffull-record%2FWOS:000181701700007","View Full Record in Web of Science")</f>
        <v>View Full Record in Web of Science</v>
      </c>
    </row>
    <row r="57" spans="1:72" x14ac:dyDescent="0.15">
      <c r="A57" t="s">
        <v>552</v>
      </c>
      <c r="B57" t="s">
        <v>656</v>
      </c>
      <c r="C57" t="s">
        <v>74</v>
      </c>
      <c r="D57" t="s">
        <v>74</v>
      </c>
      <c r="E57" t="s">
        <v>74</v>
      </c>
      <c r="F57" t="s">
        <v>656</v>
      </c>
      <c r="G57" t="s">
        <v>74</v>
      </c>
      <c r="H57" t="s">
        <v>74</v>
      </c>
      <c r="I57" t="s">
        <v>657</v>
      </c>
      <c r="J57" t="s">
        <v>555</v>
      </c>
      <c r="K57" t="s">
        <v>74</v>
      </c>
      <c r="L57" t="s">
        <v>74</v>
      </c>
      <c r="M57" t="s">
        <v>78</v>
      </c>
      <c r="N57" t="s">
        <v>576</v>
      </c>
      <c r="O57" t="s">
        <v>577</v>
      </c>
      <c r="P57" t="s">
        <v>578</v>
      </c>
      <c r="Q57" t="s">
        <v>579</v>
      </c>
      <c r="R57" t="s">
        <v>74</v>
      </c>
      <c r="S57" t="s">
        <v>74</v>
      </c>
      <c r="T57" t="s">
        <v>658</v>
      </c>
      <c r="U57" t="s">
        <v>659</v>
      </c>
      <c r="V57" t="s">
        <v>660</v>
      </c>
      <c r="W57" t="s">
        <v>661</v>
      </c>
      <c r="X57" t="s">
        <v>662</v>
      </c>
      <c r="Y57" t="s">
        <v>663</v>
      </c>
      <c r="Z57" t="s">
        <v>664</v>
      </c>
      <c r="AA57" t="s">
        <v>665</v>
      </c>
      <c r="AB57" t="s">
        <v>666</v>
      </c>
      <c r="AC57" t="s">
        <v>74</v>
      </c>
      <c r="AD57" t="s">
        <v>74</v>
      </c>
      <c r="AE57" t="s">
        <v>74</v>
      </c>
      <c r="AF57" t="s">
        <v>74</v>
      </c>
      <c r="AG57">
        <v>18</v>
      </c>
      <c r="AH57">
        <v>4</v>
      </c>
      <c r="AI57">
        <v>5</v>
      </c>
      <c r="AJ57">
        <v>0</v>
      </c>
      <c r="AK57">
        <v>2</v>
      </c>
      <c r="AL57" t="s">
        <v>560</v>
      </c>
      <c r="AM57" t="s">
        <v>561</v>
      </c>
      <c r="AN57" t="s">
        <v>603</v>
      </c>
      <c r="AO57" t="s">
        <v>563</v>
      </c>
      <c r="AP57" t="s">
        <v>640</v>
      </c>
      <c r="AQ57" t="s">
        <v>74</v>
      </c>
      <c r="AR57" t="s">
        <v>564</v>
      </c>
      <c r="AS57" t="s">
        <v>565</v>
      </c>
      <c r="AT57" t="s">
        <v>566</v>
      </c>
      <c r="AU57">
        <v>2003</v>
      </c>
      <c r="AV57">
        <v>15</v>
      </c>
      <c r="AW57">
        <v>1</v>
      </c>
      <c r="AX57" t="s">
        <v>74</v>
      </c>
      <c r="AY57" t="s">
        <v>74</v>
      </c>
      <c r="AZ57" t="s">
        <v>74</v>
      </c>
      <c r="BA57" t="s">
        <v>74</v>
      </c>
      <c r="BB57">
        <v>55</v>
      </c>
      <c r="BC57">
        <v>62</v>
      </c>
      <c r="BD57" t="s">
        <v>74</v>
      </c>
      <c r="BE57" t="s">
        <v>667</v>
      </c>
      <c r="BF57" t="str">
        <f>HYPERLINK("http://dx.doi.org/10.1017/S0954102003001147","http://dx.doi.org/10.1017/S0954102003001147")</f>
        <v>http://dx.doi.org/10.1017/S0954102003001147</v>
      </c>
      <c r="BG57" t="s">
        <v>74</v>
      </c>
      <c r="BH57" t="s">
        <v>74</v>
      </c>
      <c r="BI57">
        <v>8</v>
      </c>
      <c r="BJ57" t="s">
        <v>568</v>
      </c>
      <c r="BK57" t="s">
        <v>605</v>
      </c>
      <c r="BL57" t="s">
        <v>570</v>
      </c>
      <c r="BM57" t="s">
        <v>571</v>
      </c>
      <c r="BN57" t="s">
        <v>74</v>
      </c>
      <c r="BO57" t="s">
        <v>74</v>
      </c>
      <c r="BP57" t="s">
        <v>74</v>
      </c>
      <c r="BQ57" t="s">
        <v>74</v>
      </c>
      <c r="BR57" t="s">
        <v>98</v>
      </c>
      <c r="BS57" t="s">
        <v>668</v>
      </c>
      <c r="BT57" t="str">
        <f>HYPERLINK("https%3A%2F%2Fwww.webofscience.com%2Fwos%2Fwoscc%2Ffull-record%2FWOS:000181701700008","View Full Record in Web of Science")</f>
        <v>View Full Record in Web of Science</v>
      </c>
    </row>
    <row r="58" spans="1:72" x14ac:dyDescent="0.15">
      <c r="A58" t="s">
        <v>552</v>
      </c>
      <c r="B58" t="s">
        <v>669</v>
      </c>
      <c r="C58" t="s">
        <v>74</v>
      </c>
      <c r="D58" t="s">
        <v>74</v>
      </c>
      <c r="E58" t="s">
        <v>74</v>
      </c>
      <c r="F58" t="s">
        <v>669</v>
      </c>
      <c r="G58" t="s">
        <v>74</v>
      </c>
      <c r="H58" t="s">
        <v>74</v>
      </c>
      <c r="I58" t="s">
        <v>670</v>
      </c>
      <c r="J58" t="s">
        <v>555</v>
      </c>
      <c r="K58" t="s">
        <v>74</v>
      </c>
      <c r="L58" t="s">
        <v>74</v>
      </c>
      <c r="M58" t="s">
        <v>78</v>
      </c>
      <c r="N58" t="s">
        <v>576</v>
      </c>
      <c r="O58" t="s">
        <v>577</v>
      </c>
      <c r="P58" t="s">
        <v>578</v>
      </c>
      <c r="Q58" t="s">
        <v>579</v>
      </c>
      <c r="R58" t="s">
        <v>74</v>
      </c>
      <c r="S58" t="s">
        <v>74</v>
      </c>
      <c r="T58" t="s">
        <v>671</v>
      </c>
      <c r="U58" t="s">
        <v>672</v>
      </c>
      <c r="V58" t="s">
        <v>673</v>
      </c>
      <c r="W58" t="s">
        <v>674</v>
      </c>
      <c r="X58" t="s">
        <v>675</v>
      </c>
      <c r="Y58" t="s">
        <v>676</v>
      </c>
      <c r="Z58" t="s">
        <v>677</v>
      </c>
      <c r="AA58" t="s">
        <v>74</v>
      </c>
      <c r="AB58" t="s">
        <v>74</v>
      </c>
      <c r="AC58" t="s">
        <v>74</v>
      </c>
      <c r="AD58" t="s">
        <v>74</v>
      </c>
      <c r="AE58" t="s">
        <v>74</v>
      </c>
      <c r="AF58" t="s">
        <v>74</v>
      </c>
      <c r="AG58">
        <v>38</v>
      </c>
      <c r="AH58">
        <v>2</v>
      </c>
      <c r="AI58">
        <v>2</v>
      </c>
      <c r="AJ58">
        <v>0</v>
      </c>
      <c r="AK58">
        <v>1</v>
      </c>
      <c r="AL58" t="s">
        <v>560</v>
      </c>
      <c r="AM58" t="s">
        <v>561</v>
      </c>
      <c r="AN58" t="s">
        <v>603</v>
      </c>
      <c r="AO58" t="s">
        <v>563</v>
      </c>
      <c r="AP58" t="s">
        <v>640</v>
      </c>
      <c r="AQ58" t="s">
        <v>74</v>
      </c>
      <c r="AR58" t="s">
        <v>564</v>
      </c>
      <c r="AS58" t="s">
        <v>565</v>
      </c>
      <c r="AT58" t="s">
        <v>566</v>
      </c>
      <c r="AU58">
        <v>2003</v>
      </c>
      <c r="AV58">
        <v>15</v>
      </c>
      <c r="AW58">
        <v>1</v>
      </c>
      <c r="AX58" t="s">
        <v>74</v>
      </c>
      <c r="AY58" t="s">
        <v>74</v>
      </c>
      <c r="AZ58" t="s">
        <v>74</v>
      </c>
      <c r="BA58" t="s">
        <v>74</v>
      </c>
      <c r="BB58">
        <v>63</v>
      </c>
      <c r="BC58">
        <v>75</v>
      </c>
      <c r="BD58" t="s">
        <v>74</v>
      </c>
      <c r="BE58" t="s">
        <v>678</v>
      </c>
      <c r="BF58" t="str">
        <f>HYPERLINK("http://dx.doi.org/10.1017/s0954102003001068","http://dx.doi.org/10.1017/s0954102003001068")</f>
        <v>http://dx.doi.org/10.1017/s0954102003001068</v>
      </c>
      <c r="BG58" t="s">
        <v>74</v>
      </c>
      <c r="BH58" t="s">
        <v>74</v>
      </c>
      <c r="BI58">
        <v>13</v>
      </c>
      <c r="BJ58" t="s">
        <v>568</v>
      </c>
      <c r="BK58" t="s">
        <v>605</v>
      </c>
      <c r="BL58" t="s">
        <v>570</v>
      </c>
      <c r="BM58" t="s">
        <v>571</v>
      </c>
      <c r="BN58" t="s">
        <v>74</v>
      </c>
      <c r="BO58" t="s">
        <v>74</v>
      </c>
      <c r="BP58" t="s">
        <v>74</v>
      </c>
      <c r="BQ58" t="s">
        <v>74</v>
      </c>
      <c r="BR58" t="s">
        <v>98</v>
      </c>
      <c r="BS58" t="s">
        <v>679</v>
      </c>
      <c r="BT58" t="str">
        <f>HYPERLINK("https%3A%2F%2Fwww.webofscience.com%2Fwos%2Fwoscc%2Ffull-record%2FWOS:000181701700009","View Full Record in Web of Science")</f>
        <v>View Full Record in Web of Science</v>
      </c>
    </row>
    <row r="59" spans="1:72" x14ac:dyDescent="0.15">
      <c r="A59" t="s">
        <v>552</v>
      </c>
      <c r="B59" t="s">
        <v>680</v>
      </c>
      <c r="C59" t="s">
        <v>74</v>
      </c>
      <c r="D59" t="s">
        <v>74</v>
      </c>
      <c r="E59" t="s">
        <v>74</v>
      </c>
      <c r="F59" t="s">
        <v>680</v>
      </c>
      <c r="G59" t="s">
        <v>74</v>
      </c>
      <c r="H59" t="s">
        <v>74</v>
      </c>
      <c r="I59" t="s">
        <v>681</v>
      </c>
      <c r="J59" t="s">
        <v>555</v>
      </c>
      <c r="K59" t="s">
        <v>74</v>
      </c>
      <c r="L59" t="s">
        <v>74</v>
      </c>
      <c r="M59" t="s">
        <v>78</v>
      </c>
      <c r="N59" t="s">
        <v>576</v>
      </c>
      <c r="O59" t="s">
        <v>577</v>
      </c>
      <c r="P59" t="s">
        <v>578</v>
      </c>
      <c r="Q59" t="s">
        <v>579</v>
      </c>
      <c r="R59" t="s">
        <v>74</v>
      </c>
      <c r="S59" t="s">
        <v>74</v>
      </c>
      <c r="T59" t="s">
        <v>682</v>
      </c>
      <c r="U59" t="s">
        <v>683</v>
      </c>
      <c r="V59" t="s">
        <v>684</v>
      </c>
      <c r="W59" t="s">
        <v>685</v>
      </c>
      <c r="X59" t="s">
        <v>686</v>
      </c>
      <c r="Y59" t="s">
        <v>687</v>
      </c>
      <c r="Z59" t="s">
        <v>74</v>
      </c>
      <c r="AA59" t="s">
        <v>688</v>
      </c>
      <c r="AB59" t="s">
        <v>689</v>
      </c>
      <c r="AC59" t="s">
        <v>74</v>
      </c>
      <c r="AD59" t="s">
        <v>74</v>
      </c>
      <c r="AE59" t="s">
        <v>74</v>
      </c>
      <c r="AF59" t="s">
        <v>74</v>
      </c>
      <c r="AG59">
        <v>40</v>
      </c>
      <c r="AH59">
        <v>20</v>
      </c>
      <c r="AI59">
        <v>21</v>
      </c>
      <c r="AJ59">
        <v>0</v>
      </c>
      <c r="AK59">
        <v>3</v>
      </c>
      <c r="AL59" t="s">
        <v>560</v>
      </c>
      <c r="AM59" t="s">
        <v>561</v>
      </c>
      <c r="AN59" t="s">
        <v>562</v>
      </c>
      <c r="AO59" t="s">
        <v>563</v>
      </c>
      <c r="AP59" t="s">
        <v>74</v>
      </c>
      <c r="AQ59" t="s">
        <v>74</v>
      </c>
      <c r="AR59" t="s">
        <v>564</v>
      </c>
      <c r="AS59" t="s">
        <v>565</v>
      </c>
      <c r="AT59" t="s">
        <v>566</v>
      </c>
      <c r="AU59">
        <v>2003</v>
      </c>
      <c r="AV59">
        <v>15</v>
      </c>
      <c r="AW59">
        <v>1</v>
      </c>
      <c r="AX59" t="s">
        <v>74</v>
      </c>
      <c r="AY59" t="s">
        <v>74</v>
      </c>
      <c r="AZ59" t="s">
        <v>74</v>
      </c>
      <c r="BA59" t="s">
        <v>74</v>
      </c>
      <c r="BB59">
        <v>77</v>
      </c>
      <c r="BC59">
        <v>84</v>
      </c>
      <c r="BD59" t="s">
        <v>74</v>
      </c>
      <c r="BE59" t="s">
        <v>690</v>
      </c>
      <c r="BF59" t="str">
        <f>HYPERLINK("http://dx.doi.org/10.1017/S095410200300107X","http://dx.doi.org/10.1017/S095410200300107X")</f>
        <v>http://dx.doi.org/10.1017/S095410200300107X</v>
      </c>
      <c r="BG59" t="s">
        <v>74</v>
      </c>
      <c r="BH59" t="s">
        <v>74</v>
      </c>
      <c r="BI59">
        <v>8</v>
      </c>
      <c r="BJ59" t="s">
        <v>568</v>
      </c>
      <c r="BK59" t="s">
        <v>589</v>
      </c>
      <c r="BL59" t="s">
        <v>570</v>
      </c>
      <c r="BM59" t="s">
        <v>571</v>
      </c>
      <c r="BN59" t="s">
        <v>74</v>
      </c>
      <c r="BO59" t="s">
        <v>572</v>
      </c>
      <c r="BP59" t="s">
        <v>74</v>
      </c>
      <c r="BQ59" t="s">
        <v>74</v>
      </c>
      <c r="BR59" t="s">
        <v>98</v>
      </c>
      <c r="BS59" t="s">
        <v>691</v>
      </c>
      <c r="BT59" t="str">
        <f>HYPERLINK("https%3A%2F%2Fwww.webofscience.com%2Fwos%2Fwoscc%2Ffull-record%2FWOS:000181701700010","View Full Record in Web of Science")</f>
        <v>View Full Record in Web of Science</v>
      </c>
    </row>
    <row r="60" spans="1:72" x14ac:dyDescent="0.15">
      <c r="A60" t="s">
        <v>552</v>
      </c>
      <c r="B60" t="s">
        <v>692</v>
      </c>
      <c r="C60" t="s">
        <v>74</v>
      </c>
      <c r="D60" t="s">
        <v>74</v>
      </c>
      <c r="E60" t="s">
        <v>74</v>
      </c>
      <c r="F60" t="s">
        <v>692</v>
      </c>
      <c r="G60" t="s">
        <v>74</v>
      </c>
      <c r="H60" t="s">
        <v>74</v>
      </c>
      <c r="I60" t="s">
        <v>693</v>
      </c>
      <c r="J60" t="s">
        <v>555</v>
      </c>
      <c r="K60" t="s">
        <v>74</v>
      </c>
      <c r="L60" t="s">
        <v>74</v>
      </c>
      <c r="M60" t="s">
        <v>78</v>
      </c>
      <c r="N60" t="s">
        <v>576</v>
      </c>
      <c r="O60" t="s">
        <v>577</v>
      </c>
      <c r="P60" t="s">
        <v>578</v>
      </c>
      <c r="Q60" t="s">
        <v>579</v>
      </c>
      <c r="R60" t="s">
        <v>74</v>
      </c>
      <c r="S60" t="s">
        <v>74</v>
      </c>
      <c r="T60" t="s">
        <v>694</v>
      </c>
      <c r="U60" t="s">
        <v>695</v>
      </c>
      <c r="V60" t="s">
        <v>696</v>
      </c>
      <c r="W60" t="s">
        <v>697</v>
      </c>
      <c r="X60" t="s">
        <v>698</v>
      </c>
      <c r="Y60" t="s">
        <v>699</v>
      </c>
      <c r="Z60" t="s">
        <v>700</v>
      </c>
      <c r="AA60" t="s">
        <v>74</v>
      </c>
      <c r="AB60" t="s">
        <v>701</v>
      </c>
      <c r="AC60" t="s">
        <v>74</v>
      </c>
      <c r="AD60" t="s">
        <v>74</v>
      </c>
      <c r="AE60" t="s">
        <v>74</v>
      </c>
      <c r="AF60" t="s">
        <v>74</v>
      </c>
      <c r="AG60">
        <v>66</v>
      </c>
      <c r="AH60">
        <v>16</v>
      </c>
      <c r="AI60">
        <v>16</v>
      </c>
      <c r="AJ60">
        <v>0</v>
      </c>
      <c r="AK60">
        <v>8</v>
      </c>
      <c r="AL60" t="s">
        <v>560</v>
      </c>
      <c r="AM60" t="s">
        <v>561</v>
      </c>
      <c r="AN60" t="s">
        <v>603</v>
      </c>
      <c r="AO60" t="s">
        <v>563</v>
      </c>
      <c r="AP60" t="s">
        <v>74</v>
      </c>
      <c r="AQ60" t="s">
        <v>74</v>
      </c>
      <c r="AR60" t="s">
        <v>564</v>
      </c>
      <c r="AS60" t="s">
        <v>565</v>
      </c>
      <c r="AT60" t="s">
        <v>566</v>
      </c>
      <c r="AU60">
        <v>2003</v>
      </c>
      <c r="AV60">
        <v>15</v>
      </c>
      <c r="AW60">
        <v>1</v>
      </c>
      <c r="AX60" t="s">
        <v>74</v>
      </c>
      <c r="AY60" t="s">
        <v>74</v>
      </c>
      <c r="AZ60" t="s">
        <v>74</v>
      </c>
      <c r="BA60" t="s">
        <v>74</v>
      </c>
      <c r="BB60">
        <v>85</v>
      </c>
      <c r="BC60">
        <v>93</v>
      </c>
      <c r="BD60" t="s">
        <v>74</v>
      </c>
      <c r="BE60" t="s">
        <v>702</v>
      </c>
      <c r="BF60" t="str">
        <f>HYPERLINK("http://dx.doi.org/10.1017/S0954102003001081","http://dx.doi.org/10.1017/S0954102003001081")</f>
        <v>http://dx.doi.org/10.1017/S0954102003001081</v>
      </c>
      <c r="BG60" t="s">
        <v>74</v>
      </c>
      <c r="BH60" t="s">
        <v>74</v>
      </c>
      <c r="BI60">
        <v>9</v>
      </c>
      <c r="BJ60" t="s">
        <v>568</v>
      </c>
      <c r="BK60" t="s">
        <v>605</v>
      </c>
      <c r="BL60" t="s">
        <v>570</v>
      </c>
      <c r="BM60" t="s">
        <v>571</v>
      </c>
      <c r="BN60" t="s">
        <v>74</v>
      </c>
      <c r="BO60" t="s">
        <v>74</v>
      </c>
      <c r="BP60" t="s">
        <v>74</v>
      </c>
      <c r="BQ60" t="s">
        <v>74</v>
      </c>
      <c r="BR60" t="s">
        <v>98</v>
      </c>
      <c r="BS60" t="s">
        <v>703</v>
      </c>
      <c r="BT60" t="str">
        <f>HYPERLINK("https%3A%2F%2Fwww.webofscience.com%2Fwos%2Fwoscc%2Ffull-record%2FWOS:000181701700011","View Full Record in Web of Science")</f>
        <v>View Full Record in Web of Science</v>
      </c>
    </row>
    <row r="61" spans="1:72" x14ac:dyDescent="0.15">
      <c r="A61" t="s">
        <v>552</v>
      </c>
      <c r="B61" t="s">
        <v>704</v>
      </c>
      <c r="C61" t="s">
        <v>74</v>
      </c>
      <c r="D61" t="s">
        <v>74</v>
      </c>
      <c r="E61" t="s">
        <v>74</v>
      </c>
      <c r="F61" t="s">
        <v>704</v>
      </c>
      <c r="G61" t="s">
        <v>74</v>
      </c>
      <c r="H61" t="s">
        <v>74</v>
      </c>
      <c r="I61" t="s">
        <v>705</v>
      </c>
      <c r="J61" t="s">
        <v>555</v>
      </c>
      <c r="K61" t="s">
        <v>74</v>
      </c>
      <c r="L61" t="s">
        <v>74</v>
      </c>
      <c r="M61" t="s">
        <v>78</v>
      </c>
      <c r="N61" t="s">
        <v>576</v>
      </c>
      <c r="O61" t="s">
        <v>577</v>
      </c>
      <c r="P61" t="s">
        <v>578</v>
      </c>
      <c r="Q61" t="s">
        <v>579</v>
      </c>
      <c r="R61" t="s">
        <v>74</v>
      </c>
      <c r="S61" t="s">
        <v>74</v>
      </c>
      <c r="T61" t="s">
        <v>706</v>
      </c>
      <c r="U61" t="s">
        <v>707</v>
      </c>
      <c r="V61" t="s">
        <v>708</v>
      </c>
      <c r="W61" t="s">
        <v>328</v>
      </c>
      <c r="X61" t="s">
        <v>129</v>
      </c>
      <c r="Y61" t="s">
        <v>329</v>
      </c>
      <c r="Z61" t="s">
        <v>330</v>
      </c>
      <c r="AA61" t="s">
        <v>709</v>
      </c>
      <c r="AB61" t="s">
        <v>710</v>
      </c>
      <c r="AC61" t="s">
        <v>74</v>
      </c>
      <c r="AD61" t="s">
        <v>74</v>
      </c>
      <c r="AE61" t="s">
        <v>74</v>
      </c>
      <c r="AF61" t="s">
        <v>74</v>
      </c>
      <c r="AG61">
        <v>40</v>
      </c>
      <c r="AH61">
        <v>37</v>
      </c>
      <c r="AI61">
        <v>40</v>
      </c>
      <c r="AJ61">
        <v>0</v>
      </c>
      <c r="AK61">
        <v>15</v>
      </c>
      <c r="AL61" t="s">
        <v>560</v>
      </c>
      <c r="AM61" t="s">
        <v>561</v>
      </c>
      <c r="AN61" t="s">
        <v>603</v>
      </c>
      <c r="AO61" t="s">
        <v>563</v>
      </c>
      <c r="AP61" t="s">
        <v>640</v>
      </c>
      <c r="AQ61" t="s">
        <v>74</v>
      </c>
      <c r="AR61" t="s">
        <v>564</v>
      </c>
      <c r="AS61" t="s">
        <v>565</v>
      </c>
      <c r="AT61" t="s">
        <v>566</v>
      </c>
      <c r="AU61">
        <v>2003</v>
      </c>
      <c r="AV61">
        <v>15</v>
      </c>
      <c r="AW61">
        <v>1</v>
      </c>
      <c r="AX61" t="s">
        <v>74</v>
      </c>
      <c r="AY61" t="s">
        <v>74</v>
      </c>
      <c r="AZ61" t="s">
        <v>74</v>
      </c>
      <c r="BA61" t="s">
        <v>74</v>
      </c>
      <c r="BB61">
        <v>95</v>
      </c>
      <c r="BC61">
        <v>104</v>
      </c>
      <c r="BD61" t="s">
        <v>74</v>
      </c>
      <c r="BE61" t="s">
        <v>711</v>
      </c>
      <c r="BF61" t="str">
        <f>HYPERLINK("http://dx.doi.org/10.1017/S0954102003001093","http://dx.doi.org/10.1017/S0954102003001093")</f>
        <v>http://dx.doi.org/10.1017/S0954102003001093</v>
      </c>
      <c r="BG61" t="s">
        <v>74</v>
      </c>
      <c r="BH61" t="s">
        <v>74</v>
      </c>
      <c r="BI61">
        <v>10</v>
      </c>
      <c r="BJ61" t="s">
        <v>568</v>
      </c>
      <c r="BK61" t="s">
        <v>605</v>
      </c>
      <c r="BL61" t="s">
        <v>570</v>
      </c>
      <c r="BM61" t="s">
        <v>571</v>
      </c>
      <c r="BN61" t="s">
        <v>74</v>
      </c>
      <c r="BO61" t="s">
        <v>74</v>
      </c>
      <c r="BP61" t="s">
        <v>74</v>
      </c>
      <c r="BQ61" t="s">
        <v>74</v>
      </c>
      <c r="BR61" t="s">
        <v>98</v>
      </c>
      <c r="BS61" t="s">
        <v>712</v>
      </c>
      <c r="BT61" t="str">
        <f>HYPERLINK("https%3A%2F%2Fwww.webofscience.com%2Fwos%2Fwoscc%2Ffull-record%2FWOS:000181701700012","View Full Record in Web of Science")</f>
        <v>View Full Record in Web of Science</v>
      </c>
    </row>
    <row r="62" spans="1:72" x14ac:dyDescent="0.15">
      <c r="A62" t="s">
        <v>552</v>
      </c>
      <c r="B62" t="s">
        <v>713</v>
      </c>
      <c r="C62" t="s">
        <v>74</v>
      </c>
      <c r="D62" t="s">
        <v>74</v>
      </c>
      <c r="E62" t="s">
        <v>74</v>
      </c>
      <c r="F62" t="s">
        <v>713</v>
      </c>
      <c r="G62" t="s">
        <v>74</v>
      </c>
      <c r="H62" t="s">
        <v>74</v>
      </c>
      <c r="I62" t="s">
        <v>714</v>
      </c>
      <c r="J62" t="s">
        <v>555</v>
      </c>
      <c r="K62" t="s">
        <v>74</v>
      </c>
      <c r="L62" t="s">
        <v>74</v>
      </c>
      <c r="M62" t="s">
        <v>78</v>
      </c>
      <c r="N62" t="s">
        <v>576</v>
      </c>
      <c r="O62" t="s">
        <v>577</v>
      </c>
      <c r="P62" t="s">
        <v>578</v>
      </c>
      <c r="Q62" t="s">
        <v>579</v>
      </c>
      <c r="R62" t="s">
        <v>74</v>
      </c>
      <c r="S62" t="s">
        <v>74</v>
      </c>
      <c r="T62" t="s">
        <v>715</v>
      </c>
      <c r="U62" t="s">
        <v>716</v>
      </c>
      <c r="V62" t="s">
        <v>717</v>
      </c>
      <c r="W62" t="s">
        <v>718</v>
      </c>
      <c r="X62" t="s">
        <v>719</v>
      </c>
      <c r="Y62" t="s">
        <v>720</v>
      </c>
      <c r="Z62" t="s">
        <v>721</v>
      </c>
      <c r="AA62" t="s">
        <v>722</v>
      </c>
      <c r="AB62" t="s">
        <v>723</v>
      </c>
      <c r="AC62" t="s">
        <v>74</v>
      </c>
      <c r="AD62" t="s">
        <v>74</v>
      </c>
      <c r="AE62" t="s">
        <v>74</v>
      </c>
      <c r="AF62" t="s">
        <v>74</v>
      </c>
      <c r="AG62">
        <v>51</v>
      </c>
      <c r="AH62">
        <v>74</v>
      </c>
      <c r="AI62">
        <v>82</v>
      </c>
      <c r="AJ62">
        <v>0</v>
      </c>
      <c r="AK62">
        <v>10</v>
      </c>
      <c r="AL62" t="s">
        <v>560</v>
      </c>
      <c r="AM62" t="s">
        <v>561</v>
      </c>
      <c r="AN62" t="s">
        <v>603</v>
      </c>
      <c r="AO62" t="s">
        <v>563</v>
      </c>
      <c r="AP62" t="s">
        <v>640</v>
      </c>
      <c r="AQ62" t="s">
        <v>74</v>
      </c>
      <c r="AR62" t="s">
        <v>564</v>
      </c>
      <c r="AS62" t="s">
        <v>565</v>
      </c>
      <c r="AT62" t="s">
        <v>566</v>
      </c>
      <c r="AU62">
        <v>2003</v>
      </c>
      <c r="AV62">
        <v>15</v>
      </c>
      <c r="AW62">
        <v>1</v>
      </c>
      <c r="AX62" t="s">
        <v>74</v>
      </c>
      <c r="AY62" t="s">
        <v>74</v>
      </c>
      <c r="AZ62" t="s">
        <v>74</v>
      </c>
      <c r="BA62" t="s">
        <v>74</v>
      </c>
      <c r="BB62">
        <v>105</v>
      </c>
      <c r="BC62">
        <v>118</v>
      </c>
      <c r="BD62" t="s">
        <v>74</v>
      </c>
      <c r="BE62" t="s">
        <v>724</v>
      </c>
      <c r="BF62" t="str">
        <f>HYPERLINK("http://dx.doi.org/10.1017/S095410200300110X","http://dx.doi.org/10.1017/S095410200300110X")</f>
        <v>http://dx.doi.org/10.1017/S095410200300110X</v>
      </c>
      <c r="BG62" t="s">
        <v>74</v>
      </c>
      <c r="BH62" t="s">
        <v>74</v>
      </c>
      <c r="BI62">
        <v>14</v>
      </c>
      <c r="BJ62" t="s">
        <v>568</v>
      </c>
      <c r="BK62" t="s">
        <v>605</v>
      </c>
      <c r="BL62" t="s">
        <v>570</v>
      </c>
      <c r="BM62" t="s">
        <v>571</v>
      </c>
      <c r="BN62" t="s">
        <v>74</v>
      </c>
      <c r="BO62" t="s">
        <v>74</v>
      </c>
      <c r="BP62" t="s">
        <v>74</v>
      </c>
      <c r="BQ62" t="s">
        <v>74</v>
      </c>
      <c r="BR62" t="s">
        <v>98</v>
      </c>
      <c r="BS62" t="s">
        <v>725</v>
      </c>
      <c r="BT62" t="str">
        <f>HYPERLINK("https%3A%2F%2Fwww.webofscience.com%2Fwos%2Fwoscc%2Ffull-record%2FWOS:000181701700013","View Full Record in Web of Science")</f>
        <v>View Full Record in Web of Science</v>
      </c>
    </row>
    <row r="63" spans="1:72" x14ac:dyDescent="0.15">
      <c r="A63" t="s">
        <v>552</v>
      </c>
      <c r="B63" t="s">
        <v>726</v>
      </c>
      <c r="C63" t="s">
        <v>74</v>
      </c>
      <c r="D63" t="s">
        <v>74</v>
      </c>
      <c r="E63" t="s">
        <v>74</v>
      </c>
      <c r="F63" t="s">
        <v>726</v>
      </c>
      <c r="G63" t="s">
        <v>74</v>
      </c>
      <c r="H63" t="s">
        <v>74</v>
      </c>
      <c r="I63" t="s">
        <v>727</v>
      </c>
      <c r="J63" t="s">
        <v>555</v>
      </c>
      <c r="K63" t="s">
        <v>74</v>
      </c>
      <c r="L63" t="s">
        <v>74</v>
      </c>
      <c r="M63" t="s">
        <v>78</v>
      </c>
      <c r="N63" t="s">
        <v>576</v>
      </c>
      <c r="O63" t="s">
        <v>577</v>
      </c>
      <c r="P63" t="s">
        <v>578</v>
      </c>
      <c r="Q63" t="s">
        <v>579</v>
      </c>
      <c r="R63" t="s">
        <v>74</v>
      </c>
      <c r="S63" t="s">
        <v>74</v>
      </c>
      <c r="T63" t="s">
        <v>728</v>
      </c>
      <c r="U63" t="s">
        <v>729</v>
      </c>
      <c r="V63" t="s">
        <v>730</v>
      </c>
      <c r="W63" t="s">
        <v>731</v>
      </c>
      <c r="X63" t="s">
        <v>732</v>
      </c>
      <c r="Y63" t="s">
        <v>733</v>
      </c>
      <c r="Z63" t="s">
        <v>734</v>
      </c>
      <c r="AA63" t="s">
        <v>74</v>
      </c>
      <c r="AB63" t="s">
        <v>735</v>
      </c>
      <c r="AC63" t="s">
        <v>74</v>
      </c>
      <c r="AD63" t="s">
        <v>74</v>
      </c>
      <c r="AE63" t="s">
        <v>74</v>
      </c>
      <c r="AF63" t="s">
        <v>74</v>
      </c>
      <c r="AG63">
        <v>80</v>
      </c>
      <c r="AH63">
        <v>11</v>
      </c>
      <c r="AI63">
        <v>13</v>
      </c>
      <c r="AJ63">
        <v>0</v>
      </c>
      <c r="AK63">
        <v>8</v>
      </c>
      <c r="AL63" t="s">
        <v>560</v>
      </c>
      <c r="AM63" t="s">
        <v>561</v>
      </c>
      <c r="AN63" t="s">
        <v>603</v>
      </c>
      <c r="AO63" t="s">
        <v>563</v>
      </c>
      <c r="AP63" t="s">
        <v>74</v>
      </c>
      <c r="AQ63" t="s">
        <v>74</v>
      </c>
      <c r="AR63" t="s">
        <v>564</v>
      </c>
      <c r="AS63" t="s">
        <v>565</v>
      </c>
      <c r="AT63" t="s">
        <v>566</v>
      </c>
      <c r="AU63">
        <v>2003</v>
      </c>
      <c r="AV63">
        <v>15</v>
      </c>
      <c r="AW63">
        <v>1</v>
      </c>
      <c r="AX63" t="s">
        <v>74</v>
      </c>
      <c r="AY63" t="s">
        <v>74</v>
      </c>
      <c r="AZ63" t="s">
        <v>74</v>
      </c>
      <c r="BA63" t="s">
        <v>74</v>
      </c>
      <c r="BB63">
        <v>119</v>
      </c>
      <c r="BC63">
        <v>132</v>
      </c>
      <c r="BD63" t="s">
        <v>74</v>
      </c>
      <c r="BE63" t="s">
        <v>736</v>
      </c>
      <c r="BF63" t="str">
        <f>HYPERLINK("http://dx.doi.org/10.1017/S0954102003001111","http://dx.doi.org/10.1017/S0954102003001111")</f>
        <v>http://dx.doi.org/10.1017/S0954102003001111</v>
      </c>
      <c r="BG63" t="s">
        <v>74</v>
      </c>
      <c r="BH63" t="s">
        <v>74</v>
      </c>
      <c r="BI63">
        <v>14</v>
      </c>
      <c r="BJ63" t="s">
        <v>568</v>
      </c>
      <c r="BK63" t="s">
        <v>605</v>
      </c>
      <c r="BL63" t="s">
        <v>570</v>
      </c>
      <c r="BM63" t="s">
        <v>571</v>
      </c>
      <c r="BN63" t="s">
        <v>74</v>
      </c>
      <c r="BO63" t="s">
        <v>74</v>
      </c>
      <c r="BP63" t="s">
        <v>74</v>
      </c>
      <c r="BQ63" t="s">
        <v>74</v>
      </c>
      <c r="BR63" t="s">
        <v>98</v>
      </c>
      <c r="BS63" t="s">
        <v>737</v>
      </c>
      <c r="BT63" t="str">
        <f>HYPERLINK("https%3A%2F%2Fwww.webofscience.com%2Fwos%2Fwoscc%2Ffull-record%2FWOS:000181701700014","View Full Record in Web of Science")</f>
        <v>View Full Record in Web of Science</v>
      </c>
    </row>
    <row r="64" spans="1:72" x14ac:dyDescent="0.15">
      <c r="A64" t="s">
        <v>552</v>
      </c>
      <c r="B64" t="s">
        <v>738</v>
      </c>
      <c r="C64" t="s">
        <v>74</v>
      </c>
      <c r="D64" t="s">
        <v>74</v>
      </c>
      <c r="E64" t="s">
        <v>74</v>
      </c>
      <c r="F64" t="s">
        <v>738</v>
      </c>
      <c r="G64" t="s">
        <v>74</v>
      </c>
      <c r="H64" t="s">
        <v>74</v>
      </c>
      <c r="I64" t="s">
        <v>739</v>
      </c>
      <c r="J64" t="s">
        <v>555</v>
      </c>
      <c r="K64" t="s">
        <v>74</v>
      </c>
      <c r="L64" t="s">
        <v>74</v>
      </c>
      <c r="M64" t="s">
        <v>78</v>
      </c>
      <c r="N64" t="s">
        <v>576</v>
      </c>
      <c r="O64" t="s">
        <v>577</v>
      </c>
      <c r="P64" t="s">
        <v>578</v>
      </c>
      <c r="Q64" t="s">
        <v>579</v>
      </c>
      <c r="R64" t="s">
        <v>74</v>
      </c>
      <c r="S64" t="s">
        <v>74</v>
      </c>
      <c r="T64" t="s">
        <v>740</v>
      </c>
      <c r="U64" t="s">
        <v>741</v>
      </c>
      <c r="V64" t="s">
        <v>742</v>
      </c>
      <c r="W64" t="s">
        <v>743</v>
      </c>
      <c r="X64" t="s">
        <v>744</v>
      </c>
      <c r="Y64" t="s">
        <v>745</v>
      </c>
      <c r="Z64" t="s">
        <v>746</v>
      </c>
      <c r="AA64" t="s">
        <v>747</v>
      </c>
      <c r="AB64" t="s">
        <v>748</v>
      </c>
      <c r="AC64" t="s">
        <v>74</v>
      </c>
      <c r="AD64" t="s">
        <v>74</v>
      </c>
      <c r="AE64" t="s">
        <v>74</v>
      </c>
      <c r="AF64" t="s">
        <v>74</v>
      </c>
      <c r="AG64">
        <v>36</v>
      </c>
      <c r="AH64">
        <v>10</v>
      </c>
      <c r="AI64">
        <v>11</v>
      </c>
      <c r="AJ64">
        <v>0</v>
      </c>
      <c r="AK64">
        <v>10</v>
      </c>
      <c r="AL64" t="s">
        <v>560</v>
      </c>
      <c r="AM64" t="s">
        <v>561</v>
      </c>
      <c r="AN64" t="s">
        <v>603</v>
      </c>
      <c r="AO64" t="s">
        <v>563</v>
      </c>
      <c r="AP64" t="s">
        <v>640</v>
      </c>
      <c r="AQ64" t="s">
        <v>74</v>
      </c>
      <c r="AR64" t="s">
        <v>564</v>
      </c>
      <c r="AS64" t="s">
        <v>565</v>
      </c>
      <c r="AT64" t="s">
        <v>566</v>
      </c>
      <c r="AU64">
        <v>2003</v>
      </c>
      <c r="AV64">
        <v>15</v>
      </c>
      <c r="AW64">
        <v>1</v>
      </c>
      <c r="AX64" t="s">
        <v>74</v>
      </c>
      <c r="AY64" t="s">
        <v>74</v>
      </c>
      <c r="AZ64" t="s">
        <v>74</v>
      </c>
      <c r="BA64" t="s">
        <v>74</v>
      </c>
      <c r="BB64">
        <v>133</v>
      </c>
      <c r="BC64">
        <v>139</v>
      </c>
      <c r="BD64" t="s">
        <v>74</v>
      </c>
      <c r="BE64" t="s">
        <v>749</v>
      </c>
      <c r="BF64" t="str">
        <f>HYPERLINK("http://dx.doi.org/10.1017/S0954102003001123","http://dx.doi.org/10.1017/S0954102003001123")</f>
        <v>http://dx.doi.org/10.1017/S0954102003001123</v>
      </c>
      <c r="BG64" t="s">
        <v>74</v>
      </c>
      <c r="BH64" t="s">
        <v>74</v>
      </c>
      <c r="BI64">
        <v>7</v>
      </c>
      <c r="BJ64" t="s">
        <v>568</v>
      </c>
      <c r="BK64" t="s">
        <v>605</v>
      </c>
      <c r="BL64" t="s">
        <v>570</v>
      </c>
      <c r="BM64" t="s">
        <v>571</v>
      </c>
      <c r="BN64" t="s">
        <v>74</v>
      </c>
      <c r="BO64" t="s">
        <v>74</v>
      </c>
      <c r="BP64" t="s">
        <v>74</v>
      </c>
      <c r="BQ64" t="s">
        <v>74</v>
      </c>
      <c r="BR64" t="s">
        <v>98</v>
      </c>
      <c r="BS64" t="s">
        <v>750</v>
      </c>
      <c r="BT64" t="str">
        <f>HYPERLINK("https%3A%2F%2Fwww.webofscience.com%2Fwos%2Fwoscc%2Ffull-record%2FWOS:000181701700015","View Full Record in Web of Science")</f>
        <v>View Full Record in Web of Science</v>
      </c>
    </row>
    <row r="65" spans="1:72" x14ac:dyDescent="0.15">
      <c r="A65" t="s">
        <v>552</v>
      </c>
      <c r="B65" t="s">
        <v>751</v>
      </c>
      <c r="C65" t="s">
        <v>74</v>
      </c>
      <c r="D65" t="s">
        <v>74</v>
      </c>
      <c r="E65" t="s">
        <v>74</v>
      </c>
      <c r="F65" t="s">
        <v>751</v>
      </c>
      <c r="G65" t="s">
        <v>74</v>
      </c>
      <c r="H65" t="s">
        <v>74</v>
      </c>
      <c r="I65" t="s">
        <v>752</v>
      </c>
      <c r="J65" t="s">
        <v>555</v>
      </c>
      <c r="K65" t="s">
        <v>74</v>
      </c>
      <c r="L65" t="s">
        <v>74</v>
      </c>
      <c r="M65" t="s">
        <v>78</v>
      </c>
      <c r="N65" t="s">
        <v>576</v>
      </c>
      <c r="O65" t="s">
        <v>577</v>
      </c>
      <c r="P65" t="s">
        <v>578</v>
      </c>
      <c r="Q65" t="s">
        <v>579</v>
      </c>
      <c r="R65" t="s">
        <v>74</v>
      </c>
      <c r="S65" t="s">
        <v>74</v>
      </c>
      <c r="T65" t="s">
        <v>753</v>
      </c>
      <c r="U65" t="s">
        <v>754</v>
      </c>
      <c r="V65" t="s">
        <v>755</v>
      </c>
      <c r="W65" t="s">
        <v>756</v>
      </c>
      <c r="X65" t="s">
        <v>757</v>
      </c>
      <c r="Y65" t="s">
        <v>758</v>
      </c>
      <c r="Z65" t="s">
        <v>721</v>
      </c>
      <c r="AA65" t="s">
        <v>759</v>
      </c>
      <c r="AB65" t="s">
        <v>760</v>
      </c>
      <c r="AC65" t="s">
        <v>74</v>
      </c>
      <c r="AD65" t="s">
        <v>74</v>
      </c>
      <c r="AE65" t="s">
        <v>74</v>
      </c>
      <c r="AF65" t="s">
        <v>74</v>
      </c>
      <c r="AG65">
        <v>33</v>
      </c>
      <c r="AH65">
        <v>32</v>
      </c>
      <c r="AI65">
        <v>36</v>
      </c>
      <c r="AJ65">
        <v>1</v>
      </c>
      <c r="AK65">
        <v>9</v>
      </c>
      <c r="AL65" t="s">
        <v>560</v>
      </c>
      <c r="AM65" t="s">
        <v>561</v>
      </c>
      <c r="AN65" t="s">
        <v>562</v>
      </c>
      <c r="AO65" t="s">
        <v>563</v>
      </c>
      <c r="AP65" t="s">
        <v>74</v>
      </c>
      <c r="AQ65" t="s">
        <v>74</v>
      </c>
      <c r="AR65" t="s">
        <v>564</v>
      </c>
      <c r="AS65" t="s">
        <v>565</v>
      </c>
      <c r="AT65" t="s">
        <v>566</v>
      </c>
      <c r="AU65">
        <v>2003</v>
      </c>
      <c r="AV65">
        <v>15</v>
      </c>
      <c r="AW65">
        <v>1</v>
      </c>
      <c r="AX65" t="s">
        <v>74</v>
      </c>
      <c r="AY65" t="s">
        <v>74</v>
      </c>
      <c r="AZ65" t="s">
        <v>74</v>
      </c>
      <c r="BA65" t="s">
        <v>74</v>
      </c>
      <c r="BB65">
        <v>141</v>
      </c>
      <c r="BC65">
        <v>152</v>
      </c>
      <c r="BD65" t="s">
        <v>74</v>
      </c>
      <c r="BE65" t="s">
        <v>761</v>
      </c>
      <c r="BF65" t="str">
        <f>HYPERLINK("http://dx.doi.org/10.1017/S0954102003001135","http://dx.doi.org/10.1017/S0954102003001135")</f>
        <v>http://dx.doi.org/10.1017/S0954102003001135</v>
      </c>
      <c r="BG65" t="s">
        <v>74</v>
      </c>
      <c r="BH65" t="s">
        <v>74</v>
      </c>
      <c r="BI65">
        <v>12</v>
      </c>
      <c r="BJ65" t="s">
        <v>568</v>
      </c>
      <c r="BK65" t="s">
        <v>589</v>
      </c>
      <c r="BL65" t="s">
        <v>570</v>
      </c>
      <c r="BM65" t="s">
        <v>571</v>
      </c>
      <c r="BN65" t="s">
        <v>74</v>
      </c>
      <c r="BO65" t="s">
        <v>74</v>
      </c>
      <c r="BP65" t="s">
        <v>74</v>
      </c>
      <c r="BQ65" t="s">
        <v>74</v>
      </c>
      <c r="BR65" t="s">
        <v>98</v>
      </c>
      <c r="BS65" t="s">
        <v>762</v>
      </c>
      <c r="BT65" t="str">
        <f>HYPERLINK("https%3A%2F%2Fwww.webofscience.com%2Fwos%2Fwoscc%2Ffull-record%2FWOS:000181701700016","View Full Record in Web of Science")</f>
        <v>View Full Record in Web of Science</v>
      </c>
    </row>
    <row r="66" spans="1:72" x14ac:dyDescent="0.15">
      <c r="A66" t="s">
        <v>552</v>
      </c>
      <c r="B66" t="s">
        <v>763</v>
      </c>
      <c r="C66" t="s">
        <v>74</v>
      </c>
      <c r="D66" t="s">
        <v>74</v>
      </c>
      <c r="E66" t="s">
        <v>74</v>
      </c>
      <c r="F66" t="s">
        <v>763</v>
      </c>
      <c r="G66" t="s">
        <v>74</v>
      </c>
      <c r="H66" t="s">
        <v>74</v>
      </c>
      <c r="I66" t="s">
        <v>764</v>
      </c>
      <c r="J66" t="s">
        <v>555</v>
      </c>
      <c r="K66" t="s">
        <v>74</v>
      </c>
      <c r="L66" t="s">
        <v>74</v>
      </c>
      <c r="M66" t="s">
        <v>78</v>
      </c>
      <c r="N66" t="s">
        <v>576</v>
      </c>
      <c r="O66" t="s">
        <v>577</v>
      </c>
      <c r="P66" t="s">
        <v>578</v>
      </c>
      <c r="Q66" t="s">
        <v>579</v>
      </c>
      <c r="R66" t="s">
        <v>74</v>
      </c>
      <c r="S66" t="s">
        <v>74</v>
      </c>
      <c r="T66" t="s">
        <v>765</v>
      </c>
      <c r="U66" t="s">
        <v>766</v>
      </c>
      <c r="V66" t="s">
        <v>767</v>
      </c>
      <c r="W66" t="s">
        <v>768</v>
      </c>
      <c r="X66" t="s">
        <v>74</v>
      </c>
      <c r="Y66" t="s">
        <v>769</v>
      </c>
      <c r="Z66" t="s">
        <v>74</v>
      </c>
      <c r="AA66" t="s">
        <v>74</v>
      </c>
      <c r="AB66" t="s">
        <v>74</v>
      </c>
      <c r="AC66" t="s">
        <v>74</v>
      </c>
      <c r="AD66" t="s">
        <v>74</v>
      </c>
      <c r="AE66" t="s">
        <v>74</v>
      </c>
      <c r="AF66" t="s">
        <v>74</v>
      </c>
      <c r="AG66">
        <v>22</v>
      </c>
      <c r="AH66">
        <v>25</v>
      </c>
      <c r="AI66">
        <v>27</v>
      </c>
      <c r="AJ66">
        <v>1</v>
      </c>
      <c r="AK66">
        <v>4</v>
      </c>
      <c r="AL66" t="s">
        <v>560</v>
      </c>
      <c r="AM66" t="s">
        <v>561</v>
      </c>
      <c r="AN66" t="s">
        <v>603</v>
      </c>
      <c r="AO66" t="s">
        <v>563</v>
      </c>
      <c r="AP66" t="s">
        <v>640</v>
      </c>
      <c r="AQ66" t="s">
        <v>74</v>
      </c>
      <c r="AR66" t="s">
        <v>564</v>
      </c>
      <c r="AS66" t="s">
        <v>565</v>
      </c>
      <c r="AT66" t="s">
        <v>566</v>
      </c>
      <c r="AU66">
        <v>2003</v>
      </c>
      <c r="AV66">
        <v>15</v>
      </c>
      <c r="AW66">
        <v>1</v>
      </c>
      <c r="AX66" t="s">
        <v>74</v>
      </c>
      <c r="AY66" t="s">
        <v>74</v>
      </c>
      <c r="AZ66" t="s">
        <v>74</v>
      </c>
      <c r="BA66" t="s">
        <v>74</v>
      </c>
      <c r="BB66">
        <v>153</v>
      </c>
      <c r="BC66">
        <v>160</v>
      </c>
      <c r="BD66" t="s">
        <v>74</v>
      </c>
      <c r="BE66" t="s">
        <v>770</v>
      </c>
      <c r="BF66" t="str">
        <f>HYPERLINK("http://dx.doi.org/10.1017/S0954102003001159","http://dx.doi.org/10.1017/S0954102003001159")</f>
        <v>http://dx.doi.org/10.1017/S0954102003001159</v>
      </c>
      <c r="BG66" t="s">
        <v>74</v>
      </c>
      <c r="BH66" t="s">
        <v>74</v>
      </c>
      <c r="BI66">
        <v>8</v>
      </c>
      <c r="BJ66" t="s">
        <v>568</v>
      </c>
      <c r="BK66" t="s">
        <v>605</v>
      </c>
      <c r="BL66" t="s">
        <v>570</v>
      </c>
      <c r="BM66" t="s">
        <v>571</v>
      </c>
      <c r="BN66" t="s">
        <v>74</v>
      </c>
      <c r="BO66" t="s">
        <v>74</v>
      </c>
      <c r="BP66" t="s">
        <v>74</v>
      </c>
      <c r="BQ66" t="s">
        <v>74</v>
      </c>
      <c r="BR66" t="s">
        <v>98</v>
      </c>
      <c r="BS66" t="s">
        <v>771</v>
      </c>
      <c r="BT66" t="str">
        <f>HYPERLINK("https%3A%2F%2Fwww.webofscience.com%2Fwos%2Fwoscc%2Ffull-record%2FWOS:000181701700017","View Full Record in Web of Science")</f>
        <v>View Full Record in Web of Science</v>
      </c>
    </row>
    <row r="67" spans="1:72" x14ac:dyDescent="0.15">
      <c r="A67" t="s">
        <v>552</v>
      </c>
      <c r="B67" t="s">
        <v>772</v>
      </c>
      <c r="C67" t="s">
        <v>74</v>
      </c>
      <c r="D67" t="s">
        <v>74</v>
      </c>
      <c r="E67" t="s">
        <v>74</v>
      </c>
      <c r="F67" t="s">
        <v>772</v>
      </c>
      <c r="G67" t="s">
        <v>74</v>
      </c>
      <c r="H67" t="s">
        <v>74</v>
      </c>
      <c r="I67" t="s">
        <v>773</v>
      </c>
      <c r="J67" t="s">
        <v>774</v>
      </c>
      <c r="K67" t="s">
        <v>74</v>
      </c>
      <c r="L67" t="s">
        <v>74</v>
      </c>
      <c r="M67" t="s">
        <v>78</v>
      </c>
      <c r="N67" t="s">
        <v>775</v>
      </c>
      <c r="O67" t="s">
        <v>74</v>
      </c>
      <c r="P67" t="s">
        <v>74</v>
      </c>
      <c r="Q67" t="s">
        <v>74</v>
      </c>
      <c r="R67" t="s">
        <v>74</v>
      </c>
      <c r="S67" t="s">
        <v>74</v>
      </c>
      <c r="T67" t="s">
        <v>776</v>
      </c>
      <c r="U67" t="s">
        <v>777</v>
      </c>
      <c r="V67" t="s">
        <v>778</v>
      </c>
      <c r="W67" t="s">
        <v>779</v>
      </c>
      <c r="X67" t="s">
        <v>780</v>
      </c>
      <c r="Y67" t="s">
        <v>781</v>
      </c>
      <c r="Z67" t="s">
        <v>782</v>
      </c>
      <c r="AA67" t="s">
        <v>74</v>
      </c>
      <c r="AB67" t="s">
        <v>74</v>
      </c>
      <c r="AC67" t="s">
        <v>74</v>
      </c>
      <c r="AD67" t="s">
        <v>74</v>
      </c>
      <c r="AE67" t="s">
        <v>74</v>
      </c>
      <c r="AF67" t="s">
        <v>74</v>
      </c>
      <c r="AG67">
        <v>19</v>
      </c>
      <c r="AH67">
        <v>65</v>
      </c>
      <c r="AI67">
        <v>89</v>
      </c>
      <c r="AJ67">
        <v>3</v>
      </c>
      <c r="AK67">
        <v>40</v>
      </c>
      <c r="AL67" t="s">
        <v>783</v>
      </c>
      <c r="AM67" t="s">
        <v>784</v>
      </c>
      <c r="AN67" t="s">
        <v>785</v>
      </c>
      <c r="AO67" t="s">
        <v>786</v>
      </c>
      <c r="AP67" t="s">
        <v>787</v>
      </c>
      <c r="AQ67" t="s">
        <v>74</v>
      </c>
      <c r="AR67" t="s">
        <v>788</v>
      </c>
      <c r="AS67" t="s">
        <v>789</v>
      </c>
      <c r="AT67" t="s">
        <v>790</v>
      </c>
      <c r="AU67">
        <v>2003</v>
      </c>
      <c r="AV67">
        <v>16</v>
      </c>
      <c r="AW67">
        <v>1</v>
      </c>
      <c r="AX67" t="s">
        <v>74</v>
      </c>
      <c r="AY67" t="s">
        <v>74</v>
      </c>
      <c r="AZ67" t="s">
        <v>74</v>
      </c>
      <c r="BA67" t="s">
        <v>74</v>
      </c>
      <c r="BB67">
        <v>42</v>
      </c>
      <c r="BC67">
        <v>45</v>
      </c>
      <c r="BD67" t="s">
        <v>74</v>
      </c>
      <c r="BE67" t="s">
        <v>791</v>
      </c>
      <c r="BF67" t="str">
        <f>HYPERLINK("http://dx.doi.org/10.1016/S0990-7440(03)00004-4","http://dx.doi.org/10.1016/S0990-7440(03)00004-4")</f>
        <v>http://dx.doi.org/10.1016/S0990-7440(03)00004-4</v>
      </c>
      <c r="BG67" t="s">
        <v>74</v>
      </c>
      <c r="BH67" t="s">
        <v>74</v>
      </c>
      <c r="BI67">
        <v>4</v>
      </c>
      <c r="BJ67" t="s">
        <v>792</v>
      </c>
      <c r="BK67" t="s">
        <v>569</v>
      </c>
      <c r="BL67" t="s">
        <v>792</v>
      </c>
      <c r="BM67" t="s">
        <v>793</v>
      </c>
      <c r="BN67" t="s">
        <v>74</v>
      </c>
      <c r="BO67" t="s">
        <v>794</v>
      </c>
      <c r="BP67" t="s">
        <v>74</v>
      </c>
      <c r="BQ67" t="s">
        <v>74</v>
      </c>
      <c r="BR67" t="s">
        <v>98</v>
      </c>
      <c r="BS67" t="s">
        <v>795</v>
      </c>
      <c r="BT67" t="str">
        <f>HYPERLINK("https%3A%2F%2Fwww.webofscience.com%2Fwos%2Fwoscc%2Ffull-record%2FWOS:000183153700005","View Full Record in Web of Science")</f>
        <v>View Full Record in Web of Science</v>
      </c>
    </row>
    <row r="68" spans="1:72" x14ac:dyDescent="0.15">
      <c r="A68" t="s">
        <v>552</v>
      </c>
      <c r="B68" t="s">
        <v>796</v>
      </c>
      <c r="C68" t="s">
        <v>74</v>
      </c>
      <c r="D68" t="s">
        <v>74</v>
      </c>
      <c r="E68" t="s">
        <v>74</v>
      </c>
      <c r="F68" t="s">
        <v>796</v>
      </c>
      <c r="G68" t="s">
        <v>74</v>
      </c>
      <c r="H68" t="s">
        <v>74</v>
      </c>
      <c r="I68" t="s">
        <v>797</v>
      </c>
      <c r="J68" t="s">
        <v>798</v>
      </c>
      <c r="K68" t="s">
        <v>74</v>
      </c>
      <c r="L68" t="s">
        <v>74</v>
      </c>
      <c r="M68" t="s">
        <v>78</v>
      </c>
      <c r="N68" t="s">
        <v>775</v>
      </c>
      <c r="O68" t="s">
        <v>74</v>
      </c>
      <c r="P68" t="s">
        <v>74</v>
      </c>
      <c r="Q68" t="s">
        <v>74</v>
      </c>
      <c r="R68" t="s">
        <v>74</v>
      </c>
      <c r="S68" t="s">
        <v>74</v>
      </c>
      <c r="T68" t="s">
        <v>799</v>
      </c>
      <c r="U68" t="s">
        <v>800</v>
      </c>
      <c r="V68" t="s">
        <v>801</v>
      </c>
      <c r="W68" t="s">
        <v>802</v>
      </c>
      <c r="X68" t="s">
        <v>803</v>
      </c>
      <c r="Y68" t="s">
        <v>804</v>
      </c>
      <c r="Z68" t="s">
        <v>805</v>
      </c>
      <c r="AA68" t="s">
        <v>74</v>
      </c>
      <c r="AB68" t="s">
        <v>74</v>
      </c>
      <c r="AC68" t="s">
        <v>74</v>
      </c>
      <c r="AD68" t="s">
        <v>74</v>
      </c>
      <c r="AE68" t="s">
        <v>74</v>
      </c>
      <c r="AF68" t="s">
        <v>74</v>
      </c>
      <c r="AG68">
        <v>16</v>
      </c>
      <c r="AH68">
        <v>16</v>
      </c>
      <c r="AI68">
        <v>17</v>
      </c>
      <c r="AJ68">
        <v>0</v>
      </c>
      <c r="AK68">
        <v>4</v>
      </c>
      <c r="AL68" t="s">
        <v>806</v>
      </c>
      <c r="AM68" t="s">
        <v>807</v>
      </c>
      <c r="AN68" t="s">
        <v>808</v>
      </c>
      <c r="AO68" t="s">
        <v>809</v>
      </c>
      <c r="AP68" t="s">
        <v>810</v>
      </c>
      <c r="AQ68" t="s">
        <v>74</v>
      </c>
      <c r="AR68" t="s">
        <v>811</v>
      </c>
      <c r="AS68" t="s">
        <v>812</v>
      </c>
      <c r="AT68" t="s">
        <v>566</v>
      </c>
      <c r="AU68">
        <v>2003</v>
      </c>
      <c r="AV68">
        <v>37</v>
      </c>
      <c r="AW68">
        <v>3</v>
      </c>
      <c r="AX68" t="s">
        <v>74</v>
      </c>
      <c r="AY68" t="s">
        <v>74</v>
      </c>
      <c r="AZ68" t="s">
        <v>74</v>
      </c>
      <c r="BA68" t="s">
        <v>74</v>
      </c>
      <c r="BB68">
        <v>383</v>
      </c>
      <c r="BC68">
        <v>389</v>
      </c>
      <c r="BD68" t="s">
        <v>813</v>
      </c>
      <c r="BE68" t="s">
        <v>814</v>
      </c>
      <c r="BF68" t="str">
        <f>HYPERLINK("http://dx.doi.org/10.1016/S1352-2310(02)00890-7","http://dx.doi.org/10.1016/S1352-2310(02)00890-7")</f>
        <v>http://dx.doi.org/10.1016/S1352-2310(02)00890-7</v>
      </c>
      <c r="BG68" t="s">
        <v>74</v>
      </c>
      <c r="BH68" t="s">
        <v>74</v>
      </c>
      <c r="BI68">
        <v>7</v>
      </c>
      <c r="BJ68" t="s">
        <v>815</v>
      </c>
      <c r="BK68" t="s">
        <v>569</v>
      </c>
      <c r="BL68" t="s">
        <v>96</v>
      </c>
      <c r="BM68" t="s">
        <v>816</v>
      </c>
      <c r="BN68" t="s">
        <v>74</v>
      </c>
      <c r="BO68" t="s">
        <v>74</v>
      </c>
      <c r="BP68" t="s">
        <v>74</v>
      </c>
      <c r="BQ68" t="s">
        <v>74</v>
      </c>
      <c r="BR68" t="s">
        <v>98</v>
      </c>
      <c r="BS68" t="s">
        <v>817</v>
      </c>
      <c r="BT68" t="str">
        <f>HYPERLINK("https%3A%2F%2Fwww.webofscience.com%2Fwos%2Fwoscc%2Ffull-record%2FWOS:000180577700007","View Full Record in Web of Science")</f>
        <v>View Full Record in Web of Science</v>
      </c>
    </row>
    <row r="69" spans="1:72" x14ac:dyDescent="0.15">
      <c r="A69" t="s">
        <v>552</v>
      </c>
      <c r="B69" t="s">
        <v>818</v>
      </c>
      <c r="C69" t="s">
        <v>74</v>
      </c>
      <c r="D69" t="s">
        <v>74</v>
      </c>
      <c r="E69" t="s">
        <v>74</v>
      </c>
      <c r="F69" t="s">
        <v>819</v>
      </c>
      <c r="G69" t="s">
        <v>74</v>
      </c>
      <c r="H69" t="s">
        <v>74</v>
      </c>
      <c r="I69" t="s">
        <v>820</v>
      </c>
      <c r="J69" t="s">
        <v>821</v>
      </c>
      <c r="K69" t="s">
        <v>74</v>
      </c>
      <c r="L69" t="s">
        <v>74</v>
      </c>
      <c r="M69" t="s">
        <v>78</v>
      </c>
      <c r="N69" t="s">
        <v>775</v>
      </c>
      <c r="O69" t="s">
        <v>74</v>
      </c>
      <c r="P69" t="s">
        <v>74</v>
      </c>
      <c r="Q69" t="s">
        <v>74</v>
      </c>
      <c r="R69" t="s">
        <v>74</v>
      </c>
      <c r="S69" t="s">
        <v>74</v>
      </c>
      <c r="T69" t="s">
        <v>822</v>
      </c>
      <c r="U69" t="s">
        <v>74</v>
      </c>
      <c r="V69" t="s">
        <v>823</v>
      </c>
      <c r="W69" t="s">
        <v>824</v>
      </c>
      <c r="X69" t="s">
        <v>825</v>
      </c>
      <c r="Y69" t="s">
        <v>826</v>
      </c>
      <c r="Z69" t="s">
        <v>827</v>
      </c>
      <c r="AA69" t="s">
        <v>828</v>
      </c>
      <c r="AB69" t="s">
        <v>829</v>
      </c>
      <c r="AC69" t="s">
        <v>830</v>
      </c>
      <c r="AD69" t="s">
        <v>831</v>
      </c>
      <c r="AE69" t="s">
        <v>832</v>
      </c>
      <c r="AF69" t="s">
        <v>74</v>
      </c>
      <c r="AG69">
        <v>20</v>
      </c>
      <c r="AH69">
        <v>2</v>
      </c>
      <c r="AI69">
        <v>3</v>
      </c>
      <c r="AJ69">
        <v>0</v>
      </c>
      <c r="AK69">
        <v>1</v>
      </c>
      <c r="AL69" t="s">
        <v>833</v>
      </c>
      <c r="AM69" t="s">
        <v>834</v>
      </c>
      <c r="AN69" t="s">
        <v>835</v>
      </c>
      <c r="AO69" t="s">
        <v>836</v>
      </c>
      <c r="AP69" t="s">
        <v>74</v>
      </c>
      <c r="AQ69" t="s">
        <v>74</v>
      </c>
      <c r="AR69" t="s">
        <v>837</v>
      </c>
      <c r="AS69" t="s">
        <v>838</v>
      </c>
      <c r="AT69" t="s">
        <v>74</v>
      </c>
      <c r="AU69">
        <v>2003</v>
      </c>
      <c r="AV69">
        <v>4</v>
      </c>
      <c r="AW69" t="s">
        <v>839</v>
      </c>
      <c r="AX69" t="s">
        <v>74</v>
      </c>
      <c r="AY69" t="s">
        <v>74</v>
      </c>
      <c r="AZ69" t="s">
        <v>74</v>
      </c>
      <c r="BA69" t="s">
        <v>74</v>
      </c>
      <c r="BB69">
        <v>1</v>
      </c>
      <c r="BC69">
        <v>14</v>
      </c>
      <c r="BD69" t="s">
        <v>74</v>
      </c>
      <c r="BE69" t="s">
        <v>840</v>
      </c>
      <c r="BF69" t="str">
        <f>HYPERLINK("http://dx.doi.org/10.1016/S1530-261X(03)00002-1","http://dx.doi.org/10.1016/S1530-261X(03)00002-1")</f>
        <v>http://dx.doi.org/10.1016/S1530-261X(03)00002-1</v>
      </c>
      <c r="BG69" t="s">
        <v>74</v>
      </c>
      <c r="BH69" t="s">
        <v>74</v>
      </c>
      <c r="BI69">
        <v>14</v>
      </c>
      <c r="BJ69" t="s">
        <v>841</v>
      </c>
      <c r="BK69" t="s">
        <v>569</v>
      </c>
      <c r="BL69" t="s">
        <v>841</v>
      </c>
      <c r="BM69" t="s">
        <v>842</v>
      </c>
      <c r="BN69" t="s">
        <v>74</v>
      </c>
      <c r="BO69" t="s">
        <v>74</v>
      </c>
      <c r="BP69" t="s">
        <v>74</v>
      </c>
      <c r="BQ69" t="s">
        <v>74</v>
      </c>
      <c r="BR69" t="s">
        <v>98</v>
      </c>
      <c r="BS69" t="s">
        <v>843</v>
      </c>
      <c r="BT69" t="str">
        <f>HYPERLINK("https%3A%2F%2Fwww.webofscience.com%2Fwos%2Fwoscc%2Ffull-record%2FWOS:000208101200001","View Full Record in Web of Science")</f>
        <v>View Full Record in Web of Science</v>
      </c>
    </row>
    <row r="70" spans="1:72" x14ac:dyDescent="0.15">
      <c r="A70" t="s">
        <v>552</v>
      </c>
      <c r="B70" t="s">
        <v>844</v>
      </c>
      <c r="C70" t="s">
        <v>74</v>
      </c>
      <c r="D70" t="s">
        <v>74</v>
      </c>
      <c r="E70" t="s">
        <v>74</v>
      </c>
      <c r="F70" t="s">
        <v>844</v>
      </c>
      <c r="G70" t="s">
        <v>74</v>
      </c>
      <c r="H70" t="s">
        <v>74</v>
      </c>
      <c r="I70" t="s">
        <v>845</v>
      </c>
      <c r="J70" t="s">
        <v>846</v>
      </c>
      <c r="K70" t="s">
        <v>74</v>
      </c>
      <c r="L70" t="s">
        <v>74</v>
      </c>
      <c r="M70" t="s">
        <v>78</v>
      </c>
      <c r="N70" t="s">
        <v>576</v>
      </c>
      <c r="O70" t="s">
        <v>847</v>
      </c>
      <c r="P70" t="s">
        <v>848</v>
      </c>
      <c r="Q70" t="s">
        <v>849</v>
      </c>
      <c r="R70" t="s">
        <v>74</v>
      </c>
      <c r="S70" t="s">
        <v>74</v>
      </c>
      <c r="T70" t="s">
        <v>74</v>
      </c>
      <c r="U70" t="s">
        <v>850</v>
      </c>
      <c r="V70" t="s">
        <v>74</v>
      </c>
      <c r="W70" t="s">
        <v>851</v>
      </c>
      <c r="X70" t="s">
        <v>852</v>
      </c>
      <c r="Y70" t="s">
        <v>853</v>
      </c>
      <c r="Z70" t="s">
        <v>74</v>
      </c>
      <c r="AA70" t="s">
        <v>74</v>
      </c>
      <c r="AB70" t="s">
        <v>74</v>
      </c>
      <c r="AC70" t="s">
        <v>74</v>
      </c>
      <c r="AD70" t="s">
        <v>74</v>
      </c>
      <c r="AE70" t="s">
        <v>74</v>
      </c>
      <c r="AF70" t="s">
        <v>74</v>
      </c>
      <c r="AG70">
        <v>57</v>
      </c>
      <c r="AH70">
        <v>7</v>
      </c>
      <c r="AI70">
        <v>8</v>
      </c>
      <c r="AJ70">
        <v>0</v>
      </c>
      <c r="AK70">
        <v>4</v>
      </c>
      <c r="AL70" t="s">
        <v>854</v>
      </c>
      <c r="AM70" t="s">
        <v>855</v>
      </c>
      <c r="AN70" t="s">
        <v>856</v>
      </c>
      <c r="AO70" t="s">
        <v>857</v>
      </c>
      <c r="AP70" t="s">
        <v>74</v>
      </c>
      <c r="AQ70" t="s">
        <v>74</v>
      </c>
      <c r="AR70" t="s">
        <v>858</v>
      </c>
      <c r="AS70" t="s">
        <v>859</v>
      </c>
      <c r="AT70" t="s">
        <v>74</v>
      </c>
      <c r="AU70">
        <v>2003</v>
      </c>
      <c r="AV70">
        <v>56</v>
      </c>
      <c r="AW70" t="s">
        <v>860</v>
      </c>
      <c r="AX70" t="s">
        <v>74</v>
      </c>
      <c r="AY70" t="s">
        <v>74</v>
      </c>
      <c r="AZ70" t="s">
        <v>74</v>
      </c>
      <c r="BA70" t="s">
        <v>74</v>
      </c>
      <c r="BB70">
        <v>181</v>
      </c>
      <c r="BC70">
        <v>186</v>
      </c>
      <c r="BD70" t="s">
        <v>74</v>
      </c>
      <c r="BE70" t="s">
        <v>861</v>
      </c>
      <c r="BF70" t="str">
        <f>HYPERLINK("http://dx.doi.org/10.1071/CH02262","http://dx.doi.org/10.1071/CH02262")</f>
        <v>http://dx.doi.org/10.1071/CH02262</v>
      </c>
      <c r="BG70" t="s">
        <v>74</v>
      </c>
      <c r="BH70" t="s">
        <v>74</v>
      </c>
      <c r="BI70">
        <v>6</v>
      </c>
      <c r="BJ70" t="s">
        <v>862</v>
      </c>
      <c r="BK70" t="s">
        <v>589</v>
      </c>
      <c r="BL70" t="s">
        <v>863</v>
      </c>
      <c r="BM70" t="s">
        <v>864</v>
      </c>
      <c r="BN70" t="s">
        <v>74</v>
      </c>
      <c r="BO70" t="s">
        <v>74</v>
      </c>
      <c r="BP70" t="s">
        <v>74</v>
      </c>
      <c r="BQ70" t="s">
        <v>74</v>
      </c>
      <c r="BR70" t="s">
        <v>98</v>
      </c>
      <c r="BS70" t="s">
        <v>865</v>
      </c>
      <c r="BT70" t="str">
        <f>HYPERLINK("https%3A%2F%2Fwww.webofscience.com%2Fwos%2Fwoscc%2Ffull-record%2FWOS:000181669400016","View Full Record in Web of Science")</f>
        <v>View Full Record in Web of Science</v>
      </c>
    </row>
    <row r="71" spans="1:72" x14ac:dyDescent="0.15">
      <c r="A71" t="s">
        <v>552</v>
      </c>
      <c r="B71" t="s">
        <v>866</v>
      </c>
      <c r="C71" t="s">
        <v>74</v>
      </c>
      <c r="D71" t="s">
        <v>74</v>
      </c>
      <c r="E71" t="s">
        <v>74</v>
      </c>
      <c r="F71" t="s">
        <v>866</v>
      </c>
      <c r="G71" t="s">
        <v>74</v>
      </c>
      <c r="H71" t="s">
        <v>74</v>
      </c>
      <c r="I71" t="s">
        <v>867</v>
      </c>
      <c r="J71" t="s">
        <v>868</v>
      </c>
      <c r="K71" t="s">
        <v>74</v>
      </c>
      <c r="L71" t="s">
        <v>74</v>
      </c>
      <c r="M71" t="s">
        <v>78</v>
      </c>
      <c r="N71" t="s">
        <v>576</v>
      </c>
      <c r="O71" t="s">
        <v>869</v>
      </c>
      <c r="P71" t="s">
        <v>870</v>
      </c>
      <c r="Q71" t="s">
        <v>871</v>
      </c>
      <c r="R71" t="s">
        <v>74</v>
      </c>
      <c r="S71" t="s">
        <v>74</v>
      </c>
      <c r="T71" t="s">
        <v>872</v>
      </c>
      <c r="U71" t="s">
        <v>873</v>
      </c>
      <c r="V71" t="s">
        <v>874</v>
      </c>
      <c r="W71" t="s">
        <v>875</v>
      </c>
      <c r="X71" t="s">
        <v>74</v>
      </c>
      <c r="Y71" t="s">
        <v>876</v>
      </c>
      <c r="Z71" t="s">
        <v>74</v>
      </c>
      <c r="AA71" t="s">
        <v>74</v>
      </c>
      <c r="AB71" t="s">
        <v>74</v>
      </c>
      <c r="AC71" t="s">
        <v>74</v>
      </c>
      <c r="AD71" t="s">
        <v>74</v>
      </c>
      <c r="AE71" t="s">
        <v>74</v>
      </c>
      <c r="AF71" t="s">
        <v>74</v>
      </c>
      <c r="AG71">
        <v>21</v>
      </c>
      <c r="AH71">
        <v>18</v>
      </c>
      <c r="AI71">
        <v>19</v>
      </c>
      <c r="AJ71">
        <v>0</v>
      </c>
      <c r="AK71">
        <v>5</v>
      </c>
      <c r="AL71" t="s">
        <v>854</v>
      </c>
      <c r="AM71" t="s">
        <v>855</v>
      </c>
      <c r="AN71" t="s">
        <v>856</v>
      </c>
      <c r="AO71" t="s">
        <v>877</v>
      </c>
      <c r="AP71" t="s">
        <v>74</v>
      </c>
      <c r="AQ71" t="s">
        <v>74</v>
      </c>
      <c r="AR71" t="s">
        <v>878</v>
      </c>
      <c r="AS71" t="s">
        <v>879</v>
      </c>
      <c r="AT71" t="s">
        <v>74</v>
      </c>
      <c r="AU71">
        <v>2003</v>
      </c>
      <c r="AV71">
        <v>41</v>
      </c>
      <c r="AW71">
        <v>3</v>
      </c>
      <c r="AX71" t="s">
        <v>74</v>
      </c>
      <c r="AY71" t="s">
        <v>74</v>
      </c>
      <c r="AZ71" t="s">
        <v>74</v>
      </c>
      <c r="BA71" t="s">
        <v>74</v>
      </c>
      <c r="BB71">
        <v>351</v>
      </c>
      <c r="BC71">
        <v>364</v>
      </c>
      <c r="BD71" t="s">
        <v>74</v>
      </c>
      <c r="BE71" t="s">
        <v>880</v>
      </c>
      <c r="BF71" t="str">
        <f>HYPERLINK("http://dx.doi.org/10.1071/SR02112","http://dx.doi.org/10.1071/SR02112")</f>
        <v>http://dx.doi.org/10.1071/SR02112</v>
      </c>
      <c r="BG71" t="s">
        <v>74</v>
      </c>
      <c r="BH71" t="s">
        <v>74</v>
      </c>
      <c r="BI71">
        <v>14</v>
      </c>
      <c r="BJ71" t="s">
        <v>881</v>
      </c>
      <c r="BK71" t="s">
        <v>589</v>
      </c>
      <c r="BL71" t="s">
        <v>882</v>
      </c>
      <c r="BM71" t="s">
        <v>883</v>
      </c>
      <c r="BN71" t="s">
        <v>74</v>
      </c>
      <c r="BO71" t="s">
        <v>74</v>
      </c>
      <c r="BP71" t="s">
        <v>74</v>
      </c>
      <c r="BQ71" t="s">
        <v>74</v>
      </c>
      <c r="BR71" t="s">
        <v>98</v>
      </c>
      <c r="BS71" t="s">
        <v>884</v>
      </c>
      <c r="BT71" t="str">
        <f>HYPERLINK("https%3A%2F%2Fwww.webofscience.com%2Fwos%2Fwoscc%2Ffull-record%2FWOS:000183339800002","View Full Record in Web of Science")</f>
        <v>View Full Record in Web of Science</v>
      </c>
    </row>
    <row r="72" spans="1:72" x14ac:dyDescent="0.15">
      <c r="A72" t="s">
        <v>552</v>
      </c>
      <c r="B72" t="s">
        <v>885</v>
      </c>
      <c r="C72" t="s">
        <v>74</v>
      </c>
      <c r="D72" t="s">
        <v>74</v>
      </c>
      <c r="E72" t="s">
        <v>74</v>
      </c>
      <c r="F72" t="s">
        <v>885</v>
      </c>
      <c r="G72" t="s">
        <v>74</v>
      </c>
      <c r="H72" t="s">
        <v>74</v>
      </c>
      <c r="I72" t="s">
        <v>886</v>
      </c>
      <c r="J72" t="s">
        <v>887</v>
      </c>
      <c r="K72" t="s">
        <v>74</v>
      </c>
      <c r="L72" t="s">
        <v>74</v>
      </c>
      <c r="M72" t="s">
        <v>78</v>
      </c>
      <c r="N72" t="s">
        <v>576</v>
      </c>
      <c r="O72" t="s">
        <v>888</v>
      </c>
      <c r="P72" t="s">
        <v>889</v>
      </c>
      <c r="Q72" t="s">
        <v>890</v>
      </c>
      <c r="R72" t="s">
        <v>74</v>
      </c>
      <c r="S72" t="s">
        <v>74</v>
      </c>
      <c r="T72" t="s">
        <v>891</v>
      </c>
      <c r="U72" t="s">
        <v>892</v>
      </c>
      <c r="V72" t="s">
        <v>893</v>
      </c>
      <c r="W72" t="s">
        <v>894</v>
      </c>
      <c r="X72" t="s">
        <v>895</v>
      </c>
      <c r="Y72" t="s">
        <v>896</v>
      </c>
      <c r="Z72" t="s">
        <v>74</v>
      </c>
      <c r="AA72" t="s">
        <v>74</v>
      </c>
      <c r="AB72" t="s">
        <v>74</v>
      </c>
      <c r="AC72" t="s">
        <v>74</v>
      </c>
      <c r="AD72" t="s">
        <v>74</v>
      </c>
      <c r="AE72" t="s">
        <v>74</v>
      </c>
      <c r="AF72" t="s">
        <v>74</v>
      </c>
      <c r="AG72">
        <v>6</v>
      </c>
      <c r="AH72">
        <v>3</v>
      </c>
      <c r="AI72">
        <v>3</v>
      </c>
      <c r="AJ72">
        <v>0</v>
      </c>
      <c r="AK72">
        <v>3</v>
      </c>
      <c r="AL72" t="s">
        <v>897</v>
      </c>
      <c r="AM72" t="s">
        <v>898</v>
      </c>
      <c r="AN72" t="s">
        <v>899</v>
      </c>
      <c r="AO72" t="s">
        <v>900</v>
      </c>
      <c r="AP72" t="s">
        <v>74</v>
      </c>
      <c r="AQ72" t="s">
        <v>74</v>
      </c>
      <c r="AR72" t="s">
        <v>901</v>
      </c>
      <c r="AS72" t="s">
        <v>902</v>
      </c>
      <c r="AT72" t="s">
        <v>74</v>
      </c>
      <c r="AU72">
        <v>2003</v>
      </c>
      <c r="AV72">
        <v>47</v>
      </c>
      <c r="AW72" t="s">
        <v>74</v>
      </c>
      <c r="AX72" t="s">
        <v>74</v>
      </c>
      <c r="AY72" t="s">
        <v>903</v>
      </c>
      <c r="AZ72" t="s">
        <v>74</v>
      </c>
      <c r="BA72" t="s">
        <v>74</v>
      </c>
      <c r="BB72">
        <v>1200</v>
      </c>
      <c r="BC72">
        <v>1202</v>
      </c>
      <c r="BD72" t="s">
        <v>74</v>
      </c>
      <c r="BE72" t="s">
        <v>904</v>
      </c>
      <c r="BF72" t="str">
        <f>HYPERLINK("http://dx.doi.org/10.1637/0005-2086-47.s3.1200","http://dx.doi.org/10.1637/0005-2086-47.s3.1200")</f>
        <v>http://dx.doi.org/10.1637/0005-2086-47.s3.1200</v>
      </c>
      <c r="BG72" t="s">
        <v>74</v>
      </c>
      <c r="BH72" t="s">
        <v>74</v>
      </c>
      <c r="BI72">
        <v>3</v>
      </c>
      <c r="BJ72" t="s">
        <v>905</v>
      </c>
      <c r="BK72" t="s">
        <v>589</v>
      </c>
      <c r="BL72" t="s">
        <v>905</v>
      </c>
      <c r="BM72" t="s">
        <v>906</v>
      </c>
      <c r="BN72">
        <v>14575142</v>
      </c>
      <c r="BO72" t="s">
        <v>74</v>
      </c>
      <c r="BP72" t="s">
        <v>74</v>
      </c>
      <c r="BQ72" t="s">
        <v>74</v>
      </c>
      <c r="BR72" t="s">
        <v>98</v>
      </c>
      <c r="BS72" t="s">
        <v>907</v>
      </c>
      <c r="BT72" t="str">
        <f>HYPERLINK("https%3A%2F%2Fwww.webofscience.com%2Fwos%2Fwoscc%2Ffull-record%2FWOS:000185516000081","View Full Record in Web of Science")</f>
        <v>View Full Record in Web of Science</v>
      </c>
    </row>
    <row r="73" spans="1:72" x14ac:dyDescent="0.15">
      <c r="A73" t="s">
        <v>72</v>
      </c>
      <c r="B73" t="s">
        <v>908</v>
      </c>
      <c r="C73" t="s">
        <v>74</v>
      </c>
      <c r="D73" t="s">
        <v>909</v>
      </c>
      <c r="E73" t="s">
        <v>74</v>
      </c>
      <c r="F73" t="s">
        <v>908</v>
      </c>
      <c r="G73" t="s">
        <v>74</v>
      </c>
      <c r="H73" t="s">
        <v>74</v>
      </c>
      <c r="I73" t="s">
        <v>910</v>
      </c>
      <c r="J73" t="s">
        <v>911</v>
      </c>
      <c r="K73" t="s">
        <v>74</v>
      </c>
      <c r="L73" t="s">
        <v>74</v>
      </c>
      <c r="M73" t="s">
        <v>78</v>
      </c>
      <c r="N73" t="s">
        <v>79</v>
      </c>
      <c r="O73" t="s">
        <v>912</v>
      </c>
      <c r="P73" t="s">
        <v>913</v>
      </c>
      <c r="Q73" t="s">
        <v>914</v>
      </c>
      <c r="R73" t="s">
        <v>74</v>
      </c>
      <c r="S73" t="s">
        <v>915</v>
      </c>
      <c r="T73" t="s">
        <v>74</v>
      </c>
      <c r="U73" t="s">
        <v>916</v>
      </c>
      <c r="V73" t="s">
        <v>74</v>
      </c>
      <c r="W73" t="s">
        <v>917</v>
      </c>
      <c r="X73" t="s">
        <v>918</v>
      </c>
      <c r="Y73" t="s">
        <v>919</v>
      </c>
      <c r="Z73" t="s">
        <v>74</v>
      </c>
      <c r="AA73" t="s">
        <v>920</v>
      </c>
      <c r="AB73" t="s">
        <v>921</v>
      </c>
      <c r="AC73" t="s">
        <v>74</v>
      </c>
      <c r="AD73" t="s">
        <v>74</v>
      </c>
      <c r="AE73" t="s">
        <v>74</v>
      </c>
      <c r="AF73" t="s">
        <v>74</v>
      </c>
      <c r="AG73">
        <v>79</v>
      </c>
      <c r="AH73">
        <v>27</v>
      </c>
      <c r="AI73">
        <v>29</v>
      </c>
      <c r="AJ73">
        <v>0</v>
      </c>
      <c r="AK73">
        <v>22</v>
      </c>
      <c r="AL73" t="s">
        <v>922</v>
      </c>
      <c r="AM73" t="s">
        <v>923</v>
      </c>
      <c r="AN73" t="s">
        <v>924</v>
      </c>
      <c r="AO73" t="s">
        <v>74</v>
      </c>
      <c r="AP73" t="s">
        <v>74</v>
      </c>
      <c r="AQ73" t="s">
        <v>925</v>
      </c>
      <c r="AR73" t="s">
        <v>74</v>
      </c>
      <c r="AS73" t="s">
        <v>74</v>
      </c>
      <c r="AT73" t="s">
        <v>74</v>
      </c>
      <c r="AU73">
        <v>2003</v>
      </c>
      <c r="AV73" t="s">
        <v>74</v>
      </c>
      <c r="AW73" t="s">
        <v>74</v>
      </c>
      <c r="AX73" t="s">
        <v>74</v>
      </c>
      <c r="AY73" t="s">
        <v>74</v>
      </c>
      <c r="AZ73" t="s">
        <v>74</v>
      </c>
      <c r="BA73" t="s">
        <v>74</v>
      </c>
      <c r="BB73">
        <v>367</v>
      </c>
      <c r="BC73">
        <v>377</v>
      </c>
      <c r="BD73" t="s">
        <v>74</v>
      </c>
      <c r="BE73" t="s">
        <v>74</v>
      </c>
      <c r="BF73" t="s">
        <v>74</v>
      </c>
      <c r="BG73" t="s">
        <v>74</v>
      </c>
      <c r="BH73" t="s">
        <v>74</v>
      </c>
      <c r="BI73">
        <v>11</v>
      </c>
      <c r="BJ73" t="s">
        <v>926</v>
      </c>
      <c r="BK73" t="s">
        <v>95</v>
      </c>
      <c r="BL73" t="s">
        <v>927</v>
      </c>
      <c r="BM73" t="s">
        <v>928</v>
      </c>
      <c r="BN73" t="s">
        <v>74</v>
      </c>
      <c r="BO73" t="s">
        <v>74</v>
      </c>
      <c r="BP73" t="s">
        <v>74</v>
      </c>
      <c r="BQ73" t="s">
        <v>74</v>
      </c>
      <c r="BR73" t="s">
        <v>98</v>
      </c>
      <c r="BS73" t="s">
        <v>929</v>
      </c>
      <c r="BT73" t="str">
        <f>HYPERLINK("https%3A%2F%2Fwww.webofscience.com%2Fwos%2Fwoscc%2Ffull-record%2FWOS:000185588600026","View Full Record in Web of Science")</f>
        <v>View Full Record in Web of Science</v>
      </c>
    </row>
    <row r="74" spans="1:72" x14ac:dyDescent="0.15">
      <c r="A74" t="s">
        <v>552</v>
      </c>
      <c r="B74" t="s">
        <v>930</v>
      </c>
      <c r="C74" t="s">
        <v>74</v>
      </c>
      <c r="D74" t="s">
        <v>74</v>
      </c>
      <c r="E74" t="s">
        <v>74</v>
      </c>
      <c r="F74" t="s">
        <v>930</v>
      </c>
      <c r="G74" t="s">
        <v>74</v>
      </c>
      <c r="H74" t="s">
        <v>74</v>
      </c>
      <c r="I74" t="s">
        <v>931</v>
      </c>
      <c r="J74" t="s">
        <v>932</v>
      </c>
      <c r="K74" t="s">
        <v>74</v>
      </c>
      <c r="L74" t="s">
        <v>74</v>
      </c>
      <c r="M74" t="s">
        <v>78</v>
      </c>
      <c r="N74" t="s">
        <v>775</v>
      </c>
      <c r="O74" t="s">
        <v>74</v>
      </c>
      <c r="P74" t="s">
        <v>74</v>
      </c>
      <c r="Q74" t="s">
        <v>74</v>
      </c>
      <c r="R74" t="s">
        <v>74</v>
      </c>
      <c r="S74" t="s">
        <v>74</v>
      </c>
      <c r="T74" t="s">
        <v>933</v>
      </c>
      <c r="U74" t="s">
        <v>934</v>
      </c>
      <c r="V74" t="s">
        <v>935</v>
      </c>
      <c r="W74" t="s">
        <v>936</v>
      </c>
      <c r="X74" t="s">
        <v>937</v>
      </c>
      <c r="Y74" t="s">
        <v>938</v>
      </c>
      <c r="Z74" t="s">
        <v>939</v>
      </c>
      <c r="AA74" t="s">
        <v>940</v>
      </c>
      <c r="AB74" t="s">
        <v>941</v>
      </c>
      <c r="AC74" t="s">
        <v>74</v>
      </c>
      <c r="AD74" t="s">
        <v>74</v>
      </c>
      <c r="AE74" t="s">
        <v>74</v>
      </c>
      <c r="AF74" t="s">
        <v>74</v>
      </c>
      <c r="AG74">
        <v>68</v>
      </c>
      <c r="AH74">
        <v>11</v>
      </c>
      <c r="AI74">
        <v>11</v>
      </c>
      <c r="AJ74">
        <v>0</v>
      </c>
      <c r="AK74">
        <v>17</v>
      </c>
      <c r="AL74" t="s">
        <v>942</v>
      </c>
      <c r="AM74" t="s">
        <v>807</v>
      </c>
      <c r="AN74" t="s">
        <v>943</v>
      </c>
      <c r="AO74" t="s">
        <v>944</v>
      </c>
      <c r="AP74" t="s">
        <v>945</v>
      </c>
      <c r="AQ74" t="s">
        <v>74</v>
      </c>
      <c r="AR74" t="s">
        <v>932</v>
      </c>
      <c r="AS74" t="s">
        <v>946</v>
      </c>
      <c r="AT74" t="s">
        <v>566</v>
      </c>
      <c r="AU74">
        <v>2003</v>
      </c>
      <c r="AV74">
        <v>53</v>
      </c>
      <c r="AW74">
        <v>1</v>
      </c>
      <c r="AX74" t="s">
        <v>74</v>
      </c>
      <c r="AY74" t="s">
        <v>74</v>
      </c>
      <c r="AZ74" t="s">
        <v>74</v>
      </c>
      <c r="BA74" t="s">
        <v>74</v>
      </c>
      <c r="BB74">
        <v>33</v>
      </c>
      <c r="BC74">
        <v>45</v>
      </c>
      <c r="BD74" t="s">
        <v>74</v>
      </c>
      <c r="BE74" t="s">
        <v>947</v>
      </c>
      <c r="BF74" t="str">
        <f>HYPERLINK("http://dx.doi.org/10.1641/0006-3568(2003)053[0033:LTROBA]2.0.CO;2","http://dx.doi.org/10.1641/0006-3568(2003)053[0033:LTROBA]2.0.CO;2")</f>
        <v>http://dx.doi.org/10.1641/0006-3568(2003)053[0033:LTROBA]2.0.CO;2</v>
      </c>
      <c r="BG74" t="s">
        <v>74</v>
      </c>
      <c r="BH74" t="s">
        <v>74</v>
      </c>
      <c r="BI74">
        <v>13</v>
      </c>
      <c r="BJ74" t="s">
        <v>948</v>
      </c>
      <c r="BK74" t="s">
        <v>569</v>
      </c>
      <c r="BL74" t="s">
        <v>949</v>
      </c>
      <c r="BM74" t="s">
        <v>950</v>
      </c>
      <c r="BN74" t="s">
        <v>74</v>
      </c>
      <c r="BO74" t="s">
        <v>572</v>
      </c>
      <c r="BP74" t="s">
        <v>74</v>
      </c>
      <c r="BQ74" t="s">
        <v>74</v>
      </c>
      <c r="BR74" t="s">
        <v>98</v>
      </c>
      <c r="BS74" t="s">
        <v>951</v>
      </c>
      <c r="BT74" t="str">
        <f>HYPERLINK("https%3A%2F%2Fwww.webofscience.com%2Fwos%2Fwoscc%2Ffull-record%2FWOS:000180385200012","View Full Record in Web of Science")</f>
        <v>View Full Record in Web of Science</v>
      </c>
    </row>
    <row r="75" spans="1:72" x14ac:dyDescent="0.15">
      <c r="A75" t="s">
        <v>552</v>
      </c>
      <c r="B75" t="s">
        <v>952</v>
      </c>
      <c r="C75" t="s">
        <v>74</v>
      </c>
      <c r="D75" t="s">
        <v>74</v>
      </c>
      <c r="E75" t="s">
        <v>74</v>
      </c>
      <c r="F75" t="s">
        <v>952</v>
      </c>
      <c r="G75" t="s">
        <v>74</v>
      </c>
      <c r="H75" t="s">
        <v>74</v>
      </c>
      <c r="I75" t="s">
        <v>953</v>
      </c>
      <c r="J75" t="s">
        <v>954</v>
      </c>
      <c r="K75" t="s">
        <v>74</v>
      </c>
      <c r="L75" t="s">
        <v>74</v>
      </c>
      <c r="M75" t="s">
        <v>78</v>
      </c>
      <c r="N75" t="s">
        <v>775</v>
      </c>
      <c r="O75" t="s">
        <v>74</v>
      </c>
      <c r="P75" t="s">
        <v>74</v>
      </c>
      <c r="Q75" t="s">
        <v>74</v>
      </c>
      <c r="R75" t="s">
        <v>74</v>
      </c>
      <c r="S75" t="s">
        <v>74</v>
      </c>
      <c r="T75" t="s">
        <v>74</v>
      </c>
      <c r="U75" t="s">
        <v>955</v>
      </c>
      <c r="V75" t="s">
        <v>956</v>
      </c>
      <c r="W75" t="s">
        <v>957</v>
      </c>
      <c r="X75" t="s">
        <v>958</v>
      </c>
      <c r="Y75" t="s">
        <v>959</v>
      </c>
      <c r="Z75" t="s">
        <v>960</v>
      </c>
      <c r="AA75" t="s">
        <v>961</v>
      </c>
      <c r="AB75" t="s">
        <v>962</v>
      </c>
      <c r="AC75" t="s">
        <v>74</v>
      </c>
      <c r="AD75" t="s">
        <v>74</v>
      </c>
      <c r="AE75" t="s">
        <v>74</v>
      </c>
      <c r="AF75" t="s">
        <v>74</v>
      </c>
      <c r="AG75">
        <v>93</v>
      </c>
      <c r="AH75">
        <v>64</v>
      </c>
      <c r="AI75">
        <v>69</v>
      </c>
      <c r="AJ75">
        <v>0</v>
      </c>
      <c r="AK75">
        <v>8</v>
      </c>
      <c r="AL75" t="s">
        <v>963</v>
      </c>
      <c r="AM75" t="s">
        <v>923</v>
      </c>
      <c r="AN75" t="s">
        <v>964</v>
      </c>
      <c r="AO75" t="s">
        <v>965</v>
      </c>
      <c r="AP75" t="s">
        <v>966</v>
      </c>
      <c r="AQ75" t="s">
        <v>74</v>
      </c>
      <c r="AR75" t="s">
        <v>967</v>
      </c>
      <c r="AS75" t="s">
        <v>968</v>
      </c>
      <c r="AT75" t="s">
        <v>566</v>
      </c>
      <c r="AU75">
        <v>2003</v>
      </c>
      <c r="AV75">
        <v>46</v>
      </c>
      <c r="AW75">
        <v>1</v>
      </c>
      <c r="AX75" t="s">
        <v>74</v>
      </c>
      <c r="AY75" t="s">
        <v>74</v>
      </c>
      <c r="AZ75" t="s">
        <v>74</v>
      </c>
      <c r="BA75" t="s">
        <v>74</v>
      </c>
      <c r="BB75">
        <v>82</v>
      </c>
      <c r="BC75">
        <v>106</v>
      </c>
      <c r="BD75" t="s">
        <v>74</v>
      </c>
      <c r="BE75" t="s">
        <v>969</v>
      </c>
      <c r="BF75" t="str">
        <f>HYPERLINK("http://dx.doi.org/10.1515/BOT.2003.010","http://dx.doi.org/10.1515/BOT.2003.010")</f>
        <v>http://dx.doi.org/10.1515/BOT.2003.010</v>
      </c>
      <c r="BG75" t="s">
        <v>74</v>
      </c>
      <c r="BH75" t="s">
        <v>74</v>
      </c>
      <c r="BI75">
        <v>25</v>
      </c>
      <c r="BJ75" t="s">
        <v>970</v>
      </c>
      <c r="BK75" t="s">
        <v>569</v>
      </c>
      <c r="BL75" t="s">
        <v>970</v>
      </c>
      <c r="BM75" t="s">
        <v>971</v>
      </c>
      <c r="BN75" t="s">
        <v>74</v>
      </c>
      <c r="BO75" t="s">
        <v>74</v>
      </c>
      <c r="BP75" t="s">
        <v>74</v>
      </c>
      <c r="BQ75" t="s">
        <v>74</v>
      </c>
      <c r="BR75" t="s">
        <v>98</v>
      </c>
      <c r="BS75" t="s">
        <v>972</v>
      </c>
      <c r="BT75" t="str">
        <f>HYPERLINK("https%3A%2F%2Fwww.webofscience.com%2Fwos%2Fwoscc%2Ffull-record%2FWOS:000181454800009","View Full Record in Web of Science")</f>
        <v>View Full Record in Web of Science</v>
      </c>
    </row>
    <row r="76" spans="1:72" x14ac:dyDescent="0.15">
      <c r="A76" t="s">
        <v>552</v>
      </c>
      <c r="B76" t="s">
        <v>973</v>
      </c>
      <c r="C76" t="s">
        <v>74</v>
      </c>
      <c r="D76" t="s">
        <v>74</v>
      </c>
      <c r="E76" t="s">
        <v>74</v>
      </c>
      <c r="F76" t="s">
        <v>973</v>
      </c>
      <c r="G76" t="s">
        <v>74</v>
      </c>
      <c r="H76" t="s">
        <v>74</v>
      </c>
      <c r="I76" t="s">
        <v>974</v>
      </c>
      <c r="J76" t="s">
        <v>975</v>
      </c>
      <c r="K76" t="s">
        <v>74</v>
      </c>
      <c r="L76" t="s">
        <v>74</v>
      </c>
      <c r="M76" t="s">
        <v>78</v>
      </c>
      <c r="N76" t="s">
        <v>775</v>
      </c>
      <c r="O76" t="s">
        <v>74</v>
      </c>
      <c r="P76" t="s">
        <v>74</v>
      </c>
      <c r="Q76" t="s">
        <v>74</v>
      </c>
      <c r="R76" t="s">
        <v>74</v>
      </c>
      <c r="S76" t="s">
        <v>74</v>
      </c>
      <c r="T76" t="s">
        <v>976</v>
      </c>
      <c r="U76" t="s">
        <v>977</v>
      </c>
      <c r="V76" t="s">
        <v>978</v>
      </c>
      <c r="W76" t="s">
        <v>979</v>
      </c>
      <c r="X76" t="s">
        <v>980</v>
      </c>
      <c r="Y76" t="s">
        <v>981</v>
      </c>
      <c r="Z76" t="s">
        <v>982</v>
      </c>
      <c r="AA76" t="s">
        <v>74</v>
      </c>
      <c r="AB76" t="s">
        <v>983</v>
      </c>
      <c r="AC76" t="s">
        <v>74</v>
      </c>
      <c r="AD76" t="s">
        <v>74</v>
      </c>
      <c r="AE76" t="s">
        <v>74</v>
      </c>
      <c r="AF76" t="s">
        <v>74</v>
      </c>
      <c r="AG76">
        <v>49</v>
      </c>
      <c r="AH76">
        <v>7</v>
      </c>
      <c r="AI76">
        <v>7</v>
      </c>
      <c r="AJ76">
        <v>0</v>
      </c>
      <c r="AK76">
        <v>8</v>
      </c>
      <c r="AL76" t="s">
        <v>975</v>
      </c>
      <c r="AM76" t="s">
        <v>984</v>
      </c>
      <c r="AN76" t="s">
        <v>985</v>
      </c>
      <c r="AO76" t="s">
        <v>986</v>
      </c>
      <c r="AP76" t="s">
        <v>74</v>
      </c>
      <c r="AQ76" t="s">
        <v>74</v>
      </c>
      <c r="AR76" t="s">
        <v>987</v>
      </c>
      <c r="AS76" t="s">
        <v>988</v>
      </c>
      <c r="AT76" t="s">
        <v>74</v>
      </c>
      <c r="AU76">
        <v>2003</v>
      </c>
      <c r="AV76">
        <v>44</v>
      </c>
      <c r="AW76">
        <v>4</v>
      </c>
      <c r="AX76" t="s">
        <v>74</v>
      </c>
      <c r="AY76" t="s">
        <v>74</v>
      </c>
      <c r="AZ76" t="s">
        <v>74</v>
      </c>
      <c r="BA76" t="s">
        <v>74</v>
      </c>
      <c r="BB76">
        <v>319</v>
      </c>
      <c r="BC76">
        <v>327</v>
      </c>
      <c r="BD76" t="s">
        <v>74</v>
      </c>
      <c r="BE76" t="s">
        <v>74</v>
      </c>
      <c r="BF76" t="s">
        <v>74</v>
      </c>
      <c r="BG76" t="s">
        <v>74</v>
      </c>
      <c r="BH76" t="s">
        <v>74</v>
      </c>
      <c r="BI76">
        <v>9</v>
      </c>
      <c r="BJ76" t="s">
        <v>989</v>
      </c>
      <c r="BK76" t="s">
        <v>569</v>
      </c>
      <c r="BL76" t="s">
        <v>989</v>
      </c>
      <c r="BM76" t="s">
        <v>990</v>
      </c>
      <c r="BN76" t="s">
        <v>74</v>
      </c>
      <c r="BO76" t="s">
        <v>74</v>
      </c>
      <c r="BP76" t="s">
        <v>74</v>
      </c>
      <c r="BQ76" t="s">
        <v>74</v>
      </c>
      <c r="BR76" t="s">
        <v>98</v>
      </c>
      <c r="BS76" t="s">
        <v>991</v>
      </c>
      <c r="BT76" t="str">
        <f>HYPERLINK("https%3A%2F%2Fwww.webofscience.com%2Fwos%2Fwoscc%2Ffull-record%2FWOS:000188352000002","View Full Record in Web of Science")</f>
        <v>View Full Record in Web of Science</v>
      </c>
    </row>
    <row r="77" spans="1:72" x14ac:dyDescent="0.15">
      <c r="A77" t="s">
        <v>552</v>
      </c>
      <c r="B77" t="s">
        <v>992</v>
      </c>
      <c r="C77" t="s">
        <v>74</v>
      </c>
      <c r="D77" t="s">
        <v>74</v>
      </c>
      <c r="E77" t="s">
        <v>74</v>
      </c>
      <c r="F77" t="s">
        <v>992</v>
      </c>
      <c r="G77" t="s">
        <v>74</v>
      </c>
      <c r="H77" t="s">
        <v>74</v>
      </c>
      <c r="I77" t="s">
        <v>993</v>
      </c>
      <c r="J77" t="s">
        <v>994</v>
      </c>
      <c r="K77" t="s">
        <v>74</v>
      </c>
      <c r="L77" t="s">
        <v>74</v>
      </c>
      <c r="M77" t="s">
        <v>78</v>
      </c>
      <c r="N77" t="s">
        <v>775</v>
      </c>
      <c r="O77" t="s">
        <v>74</v>
      </c>
      <c r="P77" t="s">
        <v>74</v>
      </c>
      <c r="Q77" t="s">
        <v>74</v>
      </c>
      <c r="R77" t="s">
        <v>74</v>
      </c>
      <c r="S77" t="s">
        <v>74</v>
      </c>
      <c r="T77" t="s">
        <v>74</v>
      </c>
      <c r="U77" t="s">
        <v>995</v>
      </c>
      <c r="V77" t="s">
        <v>996</v>
      </c>
      <c r="W77" t="s">
        <v>997</v>
      </c>
      <c r="X77" t="s">
        <v>998</v>
      </c>
      <c r="Y77" t="s">
        <v>999</v>
      </c>
      <c r="Z77" t="s">
        <v>1000</v>
      </c>
      <c r="AA77" t="s">
        <v>1001</v>
      </c>
      <c r="AB77" t="s">
        <v>1002</v>
      </c>
      <c r="AC77" t="s">
        <v>74</v>
      </c>
      <c r="AD77" t="s">
        <v>74</v>
      </c>
      <c r="AE77" t="s">
        <v>74</v>
      </c>
      <c r="AF77" t="s">
        <v>74</v>
      </c>
      <c r="AG77">
        <v>46</v>
      </c>
      <c r="AH77">
        <v>42</v>
      </c>
      <c r="AI77">
        <v>50</v>
      </c>
      <c r="AJ77">
        <v>1</v>
      </c>
      <c r="AK77">
        <v>11</v>
      </c>
      <c r="AL77" t="s">
        <v>1003</v>
      </c>
      <c r="AM77" t="s">
        <v>1004</v>
      </c>
      <c r="AN77" t="s">
        <v>1005</v>
      </c>
      <c r="AO77" t="s">
        <v>1006</v>
      </c>
      <c r="AP77" t="s">
        <v>1007</v>
      </c>
      <c r="AQ77" t="s">
        <v>74</v>
      </c>
      <c r="AR77" t="s">
        <v>1008</v>
      </c>
      <c r="AS77" t="s">
        <v>1009</v>
      </c>
      <c r="AT77" t="s">
        <v>566</v>
      </c>
      <c r="AU77">
        <v>2003</v>
      </c>
      <c r="AV77">
        <v>81</v>
      </c>
      <c r="AW77">
        <v>1</v>
      </c>
      <c r="AX77" t="s">
        <v>74</v>
      </c>
      <c r="AY77" t="s">
        <v>74</v>
      </c>
      <c r="AZ77" t="s">
        <v>74</v>
      </c>
      <c r="BA77" t="s">
        <v>74</v>
      </c>
      <c r="BB77">
        <v>67</v>
      </c>
      <c r="BC77">
        <v>73</v>
      </c>
      <c r="BD77" t="s">
        <v>74</v>
      </c>
      <c r="BE77" t="s">
        <v>1010</v>
      </c>
      <c r="BF77" t="str">
        <f>HYPERLINK("http://dx.doi.org/10.1139/Z02-221","http://dx.doi.org/10.1139/Z02-221")</f>
        <v>http://dx.doi.org/10.1139/Z02-221</v>
      </c>
      <c r="BG77" t="s">
        <v>74</v>
      </c>
      <c r="BH77" t="s">
        <v>74</v>
      </c>
      <c r="BI77">
        <v>7</v>
      </c>
      <c r="BJ77" t="s">
        <v>927</v>
      </c>
      <c r="BK77" t="s">
        <v>569</v>
      </c>
      <c r="BL77" t="s">
        <v>927</v>
      </c>
      <c r="BM77" t="s">
        <v>1011</v>
      </c>
      <c r="BN77" t="s">
        <v>74</v>
      </c>
      <c r="BO77" t="s">
        <v>74</v>
      </c>
      <c r="BP77" t="s">
        <v>74</v>
      </c>
      <c r="BQ77" t="s">
        <v>74</v>
      </c>
      <c r="BR77" t="s">
        <v>98</v>
      </c>
      <c r="BS77" t="s">
        <v>1012</v>
      </c>
      <c r="BT77" t="str">
        <f>HYPERLINK("https%3A%2F%2Fwww.webofscience.com%2Fwos%2Fwoscc%2Ffull-record%2FWOS:000181614200008","View Full Record in Web of Science")</f>
        <v>View Full Record in Web of Science</v>
      </c>
    </row>
    <row r="78" spans="1:72" x14ac:dyDescent="0.15">
      <c r="A78" t="s">
        <v>552</v>
      </c>
      <c r="B78" t="s">
        <v>1013</v>
      </c>
      <c r="C78" t="s">
        <v>74</v>
      </c>
      <c r="D78" t="s">
        <v>74</v>
      </c>
      <c r="E78" t="s">
        <v>74</v>
      </c>
      <c r="F78" t="s">
        <v>1013</v>
      </c>
      <c r="G78" t="s">
        <v>74</v>
      </c>
      <c r="H78" t="s">
        <v>74</v>
      </c>
      <c r="I78" t="s">
        <v>1014</v>
      </c>
      <c r="J78" t="s">
        <v>994</v>
      </c>
      <c r="K78" t="s">
        <v>74</v>
      </c>
      <c r="L78" t="s">
        <v>74</v>
      </c>
      <c r="M78" t="s">
        <v>78</v>
      </c>
      <c r="N78" t="s">
        <v>775</v>
      </c>
      <c r="O78" t="s">
        <v>74</v>
      </c>
      <c r="P78" t="s">
        <v>74</v>
      </c>
      <c r="Q78" t="s">
        <v>74</v>
      </c>
      <c r="R78" t="s">
        <v>74</v>
      </c>
      <c r="S78" t="s">
        <v>74</v>
      </c>
      <c r="T78" t="s">
        <v>74</v>
      </c>
      <c r="U78" t="s">
        <v>1015</v>
      </c>
      <c r="V78" t="s">
        <v>1016</v>
      </c>
      <c r="W78" t="s">
        <v>238</v>
      </c>
      <c r="X78" t="s">
        <v>239</v>
      </c>
      <c r="Y78" t="s">
        <v>489</v>
      </c>
      <c r="Z78" t="s">
        <v>1017</v>
      </c>
      <c r="AA78" t="s">
        <v>74</v>
      </c>
      <c r="AB78" t="s">
        <v>74</v>
      </c>
      <c r="AC78" t="s">
        <v>74</v>
      </c>
      <c r="AD78" t="s">
        <v>74</v>
      </c>
      <c r="AE78" t="s">
        <v>74</v>
      </c>
      <c r="AF78" t="s">
        <v>74</v>
      </c>
      <c r="AG78">
        <v>38</v>
      </c>
      <c r="AH78">
        <v>15</v>
      </c>
      <c r="AI78">
        <v>18</v>
      </c>
      <c r="AJ78">
        <v>1</v>
      </c>
      <c r="AK78">
        <v>9</v>
      </c>
      <c r="AL78" t="s">
        <v>1003</v>
      </c>
      <c r="AM78" t="s">
        <v>1004</v>
      </c>
      <c r="AN78" t="s">
        <v>1005</v>
      </c>
      <c r="AO78" t="s">
        <v>1006</v>
      </c>
      <c r="AP78" t="s">
        <v>1007</v>
      </c>
      <c r="AQ78" t="s">
        <v>74</v>
      </c>
      <c r="AR78" t="s">
        <v>1008</v>
      </c>
      <c r="AS78" t="s">
        <v>1009</v>
      </c>
      <c r="AT78" t="s">
        <v>566</v>
      </c>
      <c r="AU78">
        <v>2003</v>
      </c>
      <c r="AV78">
        <v>81</v>
      </c>
      <c r="AW78">
        <v>1</v>
      </c>
      <c r="AX78" t="s">
        <v>74</v>
      </c>
      <c r="AY78" t="s">
        <v>74</v>
      </c>
      <c r="AZ78" t="s">
        <v>74</v>
      </c>
      <c r="BA78" t="s">
        <v>74</v>
      </c>
      <c r="BB78">
        <v>111</v>
      </c>
      <c r="BC78">
        <v>116</v>
      </c>
      <c r="BD78" t="s">
        <v>74</v>
      </c>
      <c r="BE78" t="s">
        <v>1018</v>
      </c>
      <c r="BF78" t="str">
        <f>HYPERLINK("http://dx.doi.org/10.1139/Z02-234","http://dx.doi.org/10.1139/Z02-234")</f>
        <v>http://dx.doi.org/10.1139/Z02-234</v>
      </c>
      <c r="BG78" t="s">
        <v>74</v>
      </c>
      <c r="BH78" t="s">
        <v>74</v>
      </c>
      <c r="BI78">
        <v>6</v>
      </c>
      <c r="BJ78" t="s">
        <v>927</v>
      </c>
      <c r="BK78" t="s">
        <v>569</v>
      </c>
      <c r="BL78" t="s">
        <v>927</v>
      </c>
      <c r="BM78" t="s">
        <v>1011</v>
      </c>
      <c r="BN78" t="s">
        <v>74</v>
      </c>
      <c r="BO78" t="s">
        <v>74</v>
      </c>
      <c r="BP78" t="s">
        <v>74</v>
      </c>
      <c r="BQ78" t="s">
        <v>74</v>
      </c>
      <c r="BR78" t="s">
        <v>98</v>
      </c>
      <c r="BS78" t="s">
        <v>1019</v>
      </c>
      <c r="BT78" t="str">
        <f>HYPERLINK("https%3A%2F%2Fwww.webofscience.com%2Fwos%2Fwoscc%2Ffull-record%2FWOS:000181614200013","View Full Record in Web of Science")</f>
        <v>View Full Record in Web of Science</v>
      </c>
    </row>
    <row r="79" spans="1:72" x14ac:dyDescent="0.15">
      <c r="A79" t="s">
        <v>552</v>
      </c>
      <c r="B79" t="s">
        <v>1020</v>
      </c>
      <c r="C79" t="s">
        <v>74</v>
      </c>
      <c r="D79" t="s">
        <v>74</v>
      </c>
      <c r="E79" t="s">
        <v>74</v>
      </c>
      <c r="F79" t="s">
        <v>1020</v>
      </c>
      <c r="G79" t="s">
        <v>74</v>
      </c>
      <c r="H79" t="s">
        <v>74</v>
      </c>
      <c r="I79" t="s">
        <v>1021</v>
      </c>
      <c r="J79" t="s">
        <v>1022</v>
      </c>
      <c r="K79" t="s">
        <v>74</v>
      </c>
      <c r="L79" t="s">
        <v>74</v>
      </c>
      <c r="M79" t="s">
        <v>78</v>
      </c>
      <c r="N79" t="s">
        <v>775</v>
      </c>
      <c r="O79" t="s">
        <v>74</v>
      </c>
      <c r="P79" t="s">
        <v>74</v>
      </c>
      <c r="Q79" t="s">
        <v>74</v>
      </c>
      <c r="R79" t="s">
        <v>74</v>
      </c>
      <c r="S79" t="s">
        <v>74</v>
      </c>
      <c r="T79" t="s">
        <v>1023</v>
      </c>
      <c r="U79" t="s">
        <v>74</v>
      </c>
      <c r="V79" t="s">
        <v>1024</v>
      </c>
      <c r="W79" t="s">
        <v>1025</v>
      </c>
      <c r="X79" t="s">
        <v>1026</v>
      </c>
      <c r="Y79" t="s">
        <v>1027</v>
      </c>
      <c r="Z79" t="s">
        <v>1028</v>
      </c>
      <c r="AA79" t="s">
        <v>74</v>
      </c>
      <c r="AB79" t="s">
        <v>74</v>
      </c>
      <c r="AC79" t="s">
        <v>74</v>
      </c>
      <c r="AD79" t="s">
        <v>74</v>
      </c>
      <c r="AE79" t="s">
        <v>74</v>
      </c>
      <c r="AF79" t="s">
        <v>74</v>
      </c>
      <c r="AG79">
        <v>15</v>
      </c>
      <c r="AH79">
        <v>4</v>
      </c>
      <c r="AI79">
        <v>6</v>
      </c>
      <c r="AJ79">
        <v>0</v>
      </c>
      <c r="AK79">
        <v>2</v>
      </c>
      <c r="AL79" t="s">
        <v>1029</v>
      </c>
      <c r="AM79" t="s">
        <v>1030</v>
      </c>
      <c r="AN79" t="s">
        <v>1031</v>
      </c>
      <c r="AO79" t="s">
        <v>1032</v>
      </c>
      <c r="AP79" t="s">
        <v>74</v>
      </c>
      <c r="AQ79" t="s">
        <v>74</v>
      </c>
      <c r="AR79" t="s">
        <v>1033</v>
      </c>
      <c r="AS79" t="s">
        <v>1034</v>
      </c>
      <c r="AT79" t="s">
        <v>74</v>
      </c>
      <c r="AU79">
        <v>2003</v>
      </c>
      <c r="AV79">
        <v>10</v>
      </c>
      <c r="AW79" t="s">
        <v>74</v>
      </c>
      <c r="AX79" t="s">
        <v>74</v>
      </c>
      <c r="AY79" t="s">
        <v>74</v>
      </c>
      <c r="AZ79" t="s">
        <v>74</v>
      </c>
      <c r="BA79" t="s">
        <v>74</v>
      </c>
      <c r="BB79">
        <v>1</v>
      </c>
      <c r="BC79">
        <v>13</v>
      </c>
      <c r="BD79" t="s">
        <v>74</v>
      </c>
      <c r="BE79" t="s">
        <v>74</v>
      </c>
      <c r="BF79" t="s">
        <v>74</v>
      </c>
      <c r="BG79" t="s">
        <v>74</v>
      </c>
      <c r="BH79" t="s">
        <v>74</v>
      </c>
      <c r="BI79">
        <v>13</v>
      </c>
      <c r="BJ79" t="s">
        <v>1035</v>
      </c>
      <c r="BK79" t="s">
        <v>569</v>
      </c>
      <c r="BL79" t="s">
        <v>1035</v>
      </c>
      <c r="BM79" t="s">
        <v>1036</v>
      </c>
      <c r="BN79" t="s">
        <v>74</v>
      </c>
      <c r="BO79" t="s">
        <v>74</v>
      </c>
      <c r="BP79" t="s">
        <v>74</v>
      </c>
      <c r="BQ79" t="s">
        <v>74</v>
      </c>
      <c r="BR79" t="s">
        <v>98</v>
      </c>
      <c r="BS79" t="s">
        <v>1037</v>
      </c>
      <c r="BT79" t="str">
        <f>HYPERLINK("https%3A%2F%2Fwww.webofscience.com%2Fwos%2Fwoscc%2Ffull-record%2FWOS:000188512300001","View Full Record in Web of Science")</f>
        <v>View Full Record in Web of Science</v>
      </c>
    </row>
    <row r="80" spans="1:72" x14ac:dyDescent="0.15">
      <c r="A80" t="s">
        <v>552</v>
      </c>
      <c r="B80" t="s">
        <v>1038</v>
      </c>
      <c r="C80" t="s">
        <v>74</v>
      </c>
      <c r="D80" t="s">
        <v>74</v>
      </c>
      <c r="E80" t="s">
        <v>74</v>
      </c>
      <c r="F80" t="s">
        <v>1038</v>
      </c>
      <c r="G80" t="s">
        <v>74</v>
      </c>
      <c r="H80" t="s">
        <v>74</v>
      </c>
      <c r="I80" t="s">
        <v>1039</v>
      </c>
      <c r="J80" t="s">
        <v>1022</v>
      </c>
      <c r="K80" t="s">
        <v>74</v>
      </c>
      <c r="L80" t="s">
        <v>74</v>
      </c>
      <c r="M80" t="s">
        <v>78</v>
      </c>
      <c r="N80" t="s">
        <v>775</v>
      </c>
      <c r="O80" t="s">
        <v>74</v>
      </c>
      <c r="P80" t="s">
        <v>74</v>
      </c>
      <c r="Q80" t="s">
        <v>74</v>
      </c>
      <c r="R80" t="s">
        <v>74</v>
      </c>
      <c r="S80" t="s">
        <v>74</v>
      </c>
      <c r="T80" t="s">
        <v>1040</v>
      </c>
      <c r="U80" t="s">
        <v>1041</v>
      </c>
      <c r="V80" t="s">
        <v>1042</v>
      </c>
      <c r="W80" t="s">
        <v>1025</v>
      </c>
      <c r="X80" t="s">
        <v>1026</v>
      </c>
      <c r="Y80" t="s">
        <v>1043</v>
      </c>
      <c r="Z80" t="s">
        <v>1044</v>
      </c>
      <c r="AA80" t="s">
        <v>74</v>
      </c>
      <c r="AB80" t="s">
        <v>74</v>
      </c>
      <c r="AC80" t="s">
        <v>74</v>
      </c>
      <c r="AD80" t="s">
        <v>74</v>
      </c>
      <c r="AE80" t="s">
        <v>74</v>
      </c>
      <c r="AF80" t="s">
        <v>74</v>
      </c>
      <c r="AG80">
        <v>30</v>
      </c>
      <c r="AH80">
        <v>4</v>
      </c>
      <c r="AI80">
        <v>4</v>
      </c>
      <c r="AJ80">
        <v>1</v>
      </c>
      <c r="AK80">
        <v>3</v>
      </c>
      <c r="AL80" t="s">
        <v>1029</v>
      </c>
      <c r="AM80" t="s">
        <v>1030</v>
      </c>
      <c r="AN80" t="s">
        <v>1031</v>
      </c>
      <c r="AO80" t="s">
        <v>1032</v>
      </c>
      <c r="AP80" t="s">
        <v>74</v>
      </c>
      <c r="AQ80" t="s">
        <v>74</v>
      </c>
      <c r="AR80" t="s">
        <v>1033</v>
      </c>
      <c r="AS80" t="s">
        <v>1034</v>
      </c>
      <c r="AT80" t="s">
        <v>74</v>
      </c>
      <c r="AU80">
        <v>2003</v>
      </c>
      <c r="AV80">
        <v>10</v>
      </c>
      <c r="AW80" t="s">
        <v>74</v>
      </c>
      <c r="AX80" t="s">
        <v>74</v>
      </c>
      <c r="AY80" t="s">
        <v>74</v>
      </c>
      <c r="AZ80" t="s">
        <v>74</v>
      </c>
      <c r="BA80" t="s">
        <v>74</v>
      </c>
      <c r="BB80">
        <v>15</v>
      </c>
      <c r="BC80">
        <v>35</v>
      </c>
      <c r="BD80" t="s">
        <v>74</v>
      </c>
      <c r="BE80" t="s">
        <v>74</v>
      </c>
      <c r="BF80" t="s">
        <v>74</v>
      </c>
      <c r="BG80" t="s">
        <v>74</v>
      </c>
      <c r="BH80" t="s">
        <v>74</v>
      </c>
      <c r="BI80">
        <v>21</v>
      </c>
      <c r="BJ80" t="s">
        <v>1035</v>
      </c>
      <c r="BK80" t="s">
        <v>569</v>
      </c>
      <c r="BL80" t="s">
        <v>1035</v>
      </c>
      <c r="BM80" t="s">
        <v>1036</v>
      </c>
      <c r="BN80" t="s">
        <v>74</v>
      </c>
      <c r="BO80" t="s">
        <v>74</v>
      </c>
      <c r="BP80" t="s">
        <v>74</v>
      </c>
      <c r="BQ80" t="s">
        <v>74</v>
      </c>
      <c r="BR80" t="s">
        <v>98</v>
      </c>
      <c r="BS80" t="s">
        <v>1045</v>
      </c>
      <c r="BT80" t="str">
        <f>HYPERLINK("https%3A%2F%2Fwww.webofscience.com%2Fwos%2Fwoscc%2Ffull-record%2FWOS:000188512300002","View Full Record in Web of Science")</f>
        <v>View Full Record in Web of Science</v>
      </c>
    </row>
    <row r="81" spans="1:72" x14ac:dyDescent="0.15">
      <c r="A81" t="s">
        <v>552</v>
      </c>
      <c r="B81" t="s">
        <v>1046</v>
      </c>
      <c r="C81" t="s">
        <v>74</v>
      </c>
      <c r="D81" t="s">
        <v>74</v>
      </c>
      <c r="E81" t="s">
        <v>74</v>
      </c>
      <c r="F81" t="s">
        <v>1046</v>
      </c>
      <c r="G81" t="s">
        <v>74</v>
      </c>
      <c r="H81" t="s">
        <v>74</v>
      </c>
      <c r="I81" t="s">
        <v>1047</v>
      </c>
      <c r="J81" t="s">
        <v>1022</v>
      </c>
      <c r="K81" t="s">
        <v>74</v>
      </c>
      <c r="L81" t="s">
        <v>74</v>
      </c>
      <c r="M81" t="s">
        <v>78</v>
      </c>
      <c r="N81" t="s">
        <v>775</v>
      </c>
      <c r="O81" t="s">
        <v>74</v>
      </c>
      <c r="P81" t="s">
        <v>74</v>
      </c>
      <c r="Q81" t="s">
        <v>74</v>
      </c>
      <c r="R81" t="s">
        <v>74</v>
      </c>
      <c r="S81" t="s">
        <v>74</v>
      </c>
      <c r="T81" t="s">
        <v>1048</v>
      </c>
      <c r="U81" t="s">
        <v>1049</v>
      </c>
      <c r="V81" t="s">
        <v>1050</v>
      </c>
      <c r="W81" t="s">
        <v>301</v>
      </c>
      <c r="X81" t="s">
        <v>302</v>
      </c>
      <c r="Y81" t="s">
        <v>1051</v>
      </c>
      <c r="Z81" t="s">
        <v>1052</v>
      </c>
      <c r="AA81" t="s">
        <v>74</v>
      </c>
      <c r="AB81" t="s">
        <v>74</v>
      </c>
      <c r="AC81" t="s">
        <v>74</v>
      </c>
      <c r="AD81" t="s">
        <v>74</v>
      </c>
      <c r="AE81" t="s">
        <v>74</v>
      </c>
      <c r="AF81" t="s">
        <v>74</v>
      </c>
      <c r="AG81">
        <v>19</v>
      </c>
      <c r="AH81">
        <v>15</v>
      </c>
      <c r="AI81">
        <v>15</v>
      </c>
      <c r="AJ81">
        <v>1</v>
      </c>
      <c r="AK81">
        <v>22</v>
      </c>
      <c r="AL81" t="s">
        <v>1029</v>
      </c>
      <c r="AM81" t="s">
        <v>1030</v>
      </c>
      <c r="AN81" t="s">
        <v>1031</v>
      </c>
      <c r="AO81" t="s">
        <v>1032</v>
      </c>
      <c r="AP81" t="s">
        <v>74</v>
      </c>
      <c r="AQ81" t="s">
        <v>74</v>
      </c>
      <c r="AR81" t="s">
        <v>1033</v>
      </c>
      <c r="AS81" t="s">
        <v>1034</v>
      </c>
      <c r="AT81" t="s">
        <v>74</v>
      </c>
      <c r="AU81">
        <v>2003</v>
      </c>
      <c r="AV81">
        <v>10</v>
      </c>
      <c r="AW81" t="s">
        <v>74</v>
      </c>
      <c r="AX81" t="s">
        <v>74</v>
      </c>
      <c r="AY81" t="s">
        <v>74</v>
      </c>
      <c r="AZ81" t="s">
        <v>74</v>
      </c>
      <c r="BA81" t="s">
        <v>74</v>
      </c>
      <c r="BB81">
        <v>53</v>
      </c>
      <c r="BC81">
        <v>74</v>
      </c>
      <c r="BD81" t="s">
        <v>74</v>
      </c>
      <c r="BE81" t="s">
        <v>74</v>
      </c>
      <c r="BF81" t="s">
        <v>74</v>
      </c>
      <c r="BG81" t="s">
        <v>74</v>
      </c>
      <c r="BH81" t="s">
        <v>74</v>
      </c>
      <c r="BI81">
        <v>22</v>
      </c>
      <c r="BJ81" t="s">
        <v>1035</v>
      </c>
      <c r="BK81" t="s">
        <v>569</v>
      </c>
      <c r="BL81" t="s">
        <v>1035</v>
      </c>
      <c r="BM81" t="s">
        <v>1036</v>
      </c>
      <c r="BN81" t="s">
        <v>74</v>
      </c>
      <c r="BO81" t="s">
        <v>74</v>
      </c>
      <c r="BP81" t="s">
        <v>74</v>
      </c>
      <c r="BQ81" t="s">
        <v>74</v>
      </c>
      <c r="BR81" t="s">
        <v>98</v>
      </c>
      <c r="BS81" t="s">
        <v>1053</v>
      </c>
      <c r="BT81" t="str">
        <f>HYPERLINK("https%3A%2F%2Fwww.webofscience.com%2Fwos%2Fwoscc%2Ffull-record%2FWOS:000188512300004","View Full Record in Web of Science")</f>
        <v>View Full Record in Web of Science</v>
      </c>
    </row>
    <row r="82" spans="1:72" x14ac:dyDescent="0.15">
      <c r="A82" t="s">
        <v>552</v>
      </c>
      <c r="B82" t="s">
        <v>1054</v>
      </c>
      <c r="C82" t="s">
        <v>74</v>
      </c>
      <c r="D82" t="s">
        <v>74</v>
      </c>
      <c r="E82" t="s">
        <v>74</v>
      </c>
      <c r="F82" t="s">
        <v>1054</v>
      </c>
      <c r="G82" t="s">
        <v>74</v>
      </c>
      <c r="H82" t="s">
        <v>74</v>
      </c>
      <c r="I82" t="s">
        <v>1055</v>
      </c>
      <c r="J82" t="s">
        <v>1022</v>
      </c>
      <c r="K82" t="s">
        <v>74</v>
      </c>
      <c r="L82" t="s">
        <v>74</v>
      </c>
      <c r="M82" t="s">
        <v>78</v>
      </c>
      <c r="N82" t="s">
        <v>775</v>
      </c>
      <c r="O82" t="s">
        <v>74</v>
      </c>
      <c r="P82" t="s">
        <v>74</v>
      </c>
      <c r="Q82" t="s">
        <v>74</v>
      </c>
      <c r="R82" t="s">
        <v>74</v>
      </c>
      <c r="S82" t="s">
        <v>74</v>
      </c>
      <c r="T82" t="s">
        <v>1056</v>
      </c>
      <c r="U82" t="s">
        <v>1057</v>
      </c>
      <c r="V82" t="s">
        <v>1058</v>
      </c>
      <c r="W82" t="s">
        <v>301</v>
      </c>
      <c r="X82" t="s">
        <v>302</v>
      </c>
      <c r="Y82" t="s">
        <v>1059</v>
      </c>
      <c r="Z82" t="s">
        <v>1060</v>
      </c>
      <c r="AA82" t="s">
        <v>74</v>
      </c>
      <c r="AB82" t="s">
        <v>74</v>
      </c>
      <c r="AC82" t="s">
        <v>74</v>
      </c>
      <c r="AD82" t="s">
        <v>74</v>
      </c>
      <c r="AE82" t="s">
        <v>74</v>
      </c>
      <c r="AF82" t="s">
        <v>74</v>
      </c>
      <c r="AG82">
        <v>18</v>
      </c>
      <c r="AH82">
        <v>10</v>
      </c>
      <c r="AI82">
        <v>10</v>
      </c>
      <c r="AJ82">
        <v>0</v>
      </c>
      <c r="AK82">
        <v>7</v>
      </c>
      <c r="AL82" t="s">
        <v>1029</v>
      </c>
      <c r="AM82" t="s">
        <v>1030</v>
      </c>
      <c r="AN82" t="s">
        <v>1031</v>
      </c>
      <c r="AO82" t="s">
        <v>1032</v>
      </c>
      <c r="AP82" t="s">
        <v>74</v>
      </c>
      <c r="AQ82" t="s">
        <v>74</v>
      </c>
      <c r="AR82" t="s">
        <v>1033</v>
      </c>
      <c r="AS82" t="s">
        <v>1034</v>
      </c>
      <c r="AT82" t="s">
        <v>74</v>
      </c>
      <c r="AU82">
        <v>2003</v>
      </c>
      <c r="AV82">
        <v>10</v>
      </c>
      <c r="AW82" t="s">
        <v>74</v>
      </c>
      <c r="AX82" t="s">
        <v>74</v>
      </c>
      <c r="AY82" t="s">
        <v>74</v>
      </c>
      <c r="AZ82" t="s">
        <v>74</v>
      </c>
      <c r="BA82" t="s">
        <v>74</v>
      </c>
      <c r="BB82">
        <v>75</v>
      </c>
      <c r="BC82">
        <v>90</v>
      </c>
      <c r="BD82" t="s">
        <v>74</v>
      </c>
      <c r="BE82" t="s">
        <v>74</v>
      </c>
      <c r="BF82" t="s">
        <v>74</v>
      </c>
      <c r="BG82" t="s">
        <v>74</v>
      </c>
      <c r="BH82" t="s">
        <v>74</v>
      </c>
      <c r="BI82">
        <v>16</v>
      </c>
      <c r="BJ82" t="s">
        <v>1035</v>
      </c>
      <c r="BK82" t="s">
        <v>569</v>
      </c>
      <c r="BL82" t="s">
        <v>1035</v>
      </c>
      <c r="BM82" t="s">
        <v>1036</v>
      </c>
      <c r="BN82" t="s">
        <v>74</v>
      </c>
      <c r="BO82" t="s">
        <v>74</v>
      </c>
      <c r="BP82" t="s">
        <v>74</v>
      </c>
      <c r="BQ82" t="s">
        <v>74</v>
      </c>
      <c r="BR82" t="s">
        <v>98</v>
      </c>
      <c r="BS82" t="s">
        <v>1061</v>
      </c>
      <c r="BT82" t="str">
        <f>HYPERLINK("https%3A%2F%2Fwww.webofscience.com%2Fwos%2Fwoscc%2Ffull-record%2FWOS:000188512300005","View Full Record in Web of Science")</f>
        <v>View Full Record in Web of Science</v>
      </c>
    </row>
    <row r="83" spans="1:72" x14ac:dyDescent="0.15">
      <c r="A83" t="s">
        <v>552</v>
      </c>
      <c r="B83" t="s">
        <v>1062</v>
      </c>
      <c r="C83" t="s">
        <v>74</v>
      </c>
      <c r="D83" t="s">
        <v>74</v>
      </c>
      <c r="E83" t="s">
        <v>74</v>
      </c>
      <c r="F83" t="s">
        <v>1062</v>
      </c>
      <c r="G83" t="s">
        <v>74</v>
      </c>
      <c r="H83" t="s">
        <v>74</v>
      </c>
      <c r="I83" t="s">
        <v>1063</v>
      </c>
      <c r="J83" t="s">
        <v>1022</v>
      </c>
      <c r="K83" t="s">
        <v>74</v>
      </c>
      <c r="L83" t="s">
        <v>74</v>
      </c>
      <c r="M83" t="s">
        <v>78</v>
      </c>
      <c r="N83" t="s">
        <v>775</v>
      </c>
      <c r="O83" t="s">
        <v>74</v>
      </c>
      <c r="P83" t="s">
        <v>74</v>
      </c>
      <c r="Q83" t="s">
        <v>74</v>
      </c>
      <c r="R83" t="s">
        <v>74</v>
      </c>
      <c r="S83" t="s">
        <v>74</v>
      </c>
      <c r="T83" t="s">
        <v>1064</v>
      </c>
      <c r="U83" t="s">
        <v>74</v>
      </c>
      <c r="V83" t="s">
        <v>1065</v>
      </c>
      <c r="W83" t="s">
        <v>1066</v>
      </c>
      <c r="X83" t="s">
        <v>1067</v>
      </c>
      <c r="Y83" t="s">
        <v>1068</v>
      </c>
      <c r="Z83" t="s">
        <v>1069</v>
      </c>
      <c r="AA83" t="s">
        <v>1070</v>
      </c>
      <c r="AB83" t="s">
        <v>1071</v>
      </c>
      <c r="AC83" t="s">
        <v>74</v>
      </c>
      <c r="AD83" t="s">
        <v>74</v>
      </c>
      <c r="AE83" t="s">
        <v>74</v>
      </c>
      <c r="AF83" t="s">
        <v>74</v>
      </c>
      <c r="AG83">
        <v>24</v>
      </c>
      <c r="AH83">
        <v>2</v>
      </c>
      <c r="AI83">
        <v>2</v>
      </c>
      <c r="AJ83">
        <v>0</v>
      </c>
      <c r="AK83">
        <v>5</v>
      </c>
      <c r="AL83" t="s">
        <v>1029</v>
      </c>
      <c r="AM83" t="s">
        <v>1030</v>
      </c>
      <c r="AN83" t="s">
        <v>1031</v>
      </c>
      <c r="AO83" t="s">
        <v>1032</v>
      </c>
      <c r="AP83" t="s">
        <v>74</v>
      </c>
      <c r="AQ83" t="s">
        <v>74</v>
      </c>
      <c r="AR83" t="s">
        <v>1033</v>
      </c>
      <c r="AS83" t="s">
        <v>1034</v>
      </c>
      <c r="AT83" t="s">
        <v>74</v>
      </c>
      <c r="AU83">
        <v>2003</v>
      </c>
      <c r="AV83">
        <v>10</v>
      </c>
      <c r="AW83" t="s">
        <v>74</v>
      </c>
      <c r="AX83" t="s">
        <v>74</v>
      </c>
      <c r="AY83" t="s">
        <v>74</v>
      </c>
      <c r="AZ83" t="s">
        <v>74</v>
      </c>
      <c r="BA83" t="s">
        <v>74</v>
      </c>
      <c r="BB83">
        <v>91</v>
      </c>
      <c r="BC83">
        <v>100</v>
      </c>
      <c r="BD83" t="s">
        <v>74</v>
      </c>
      <c r="BE83" t="s">
        <v>74</v>
      </c>
      <c r="BF83" t="s">
        <v>74</v>
      </c>
      <c r="BG83" t="s">
        <v>74</v>
      </c>
      <c r="BH83" t="s">
        <v>74</v>
      </c>
      <c r="BI83">
        <v>10</v>
      </c>
      <c r="BJ83" t="s">
        <v>1035</v>
      </c>
      <c r="BK83" t="s">
        <v>569</v>
      </c>
      <c r="BL83" t="s">
        <v>1035</v>
      </c>
      <c r="BM83" t="s">
        <v>1036</v>
      </c>
      <c r="BN83" t="s">
        <v>74</v>
      </c>
      <c r="BO83" t="s">
        <v>74</v>
      </c>
      <c r="BP83" t="s">
        <v>74</v>
      </c>
      <c r="BQ83" t="s">
        <v>74</v>
      </c>
      <c r="BR83" t="s">
        <v>98</v>
      </c>
      <c r="BS83" t="s">
        <v>1072</v>
      </c>
      <c r="BT83" t="str">
        <f>HYPERLINK("https%3A%2F%2Fwww.webofscience.com%2Fwos%2Fwoscc%2Ffull-record%2FWOS:000188512300006","View Full Record in Web of Science")</f>
        <v>View Full Record in Web of Science</v>
      </c>
    </row>
    <row r="84" spans="1:72" x14ac:dyDescent="0.15">
      <c r="A84" t="s">
        <v>552</v>
      </c>
      <c r="B84" t="s">
        <v>1073</v>
      </c>
      <c r="C84" t="s">
        <v>74</v>
      </c>
      <c r="D84" t="s">
        <v>74</v>
      </c>
      <c r="E84" t="s">
        <v>74</v>
      </c>
      <c r="F84" t="s">
        <v>1073</v>
      </c>
      <c r="G84" t="s">
        <v>74</v>
      </c>
      <c r="H84" t="s">
        <v>74</v>
      </c>
      <c r="I84" t="s">
        <v>1074</v>
      </c>
      <c r="J84" t="s">
        <v>1022</v>
      </c>
      <c r="K84" t="s">
        <v>74</v>
      </c>
      <c r="L84" t="s">
        <v>74</v>
      </c>
      <c r="M84" t="s">
        <v>78</v>
      </c>
      <c r="N84" t="s">
        <v>775</v>
      </c>
      <c r="O84" t="s">
        <v>74</v>
      </c>
      <c r="P84" t="s">
        <v>74</v>
      </c>
      <c r="Q84" t="s">
        <v>74</v>
      </c>
      <c r="R84" t="s">
        <v>74</v>
      </c>
      <c r="S84" t="s">
        <v>74</v>
      </c>
      <c r="T84" t="s">
        <v>1075</v>
      </c>
      <c r="U84" t="s">
        <v>1076</v>
      </c>
      <c r="V84" t="s">
        <v>1077</v>
      </c>
      <c r="W84" t="s">
        <v>1078</v>
      </c>
      <c r="X84" t="s">
        <v>239</v>
      </c>
      <c r="Y84" t="s">
        <v>1079</v>
      </c>
      <c r="Z84" t="s">
        <v>1080</v>
      </c>
      <c r="AA84" t="s">
        <v>74</v>
      </c>
      <c r="AB84" t="s">
        <v>74</v>
      </c>
      <c r="AC84" t="s">
        <v>74</v>
      </c>
      <c r="AD84" t="s">
        <v>74</v>
      </c>
      <c r="AE84" t="s">
        <v>74</v>
      </c>
      <c r="AF84" t="s">
        <v>74</v>
      </c>
      <c r="AG84">
        <v>10</v>
      </c>
      <c r="AH84">
        <v>22</v>
      </c>
      <c r="AI84">
        <v>22</v>
      </c>
      <c r="AJ84">
        <v>1</v>
      </c>
      <c r="AK84">
        <v>4</v>
      </c>
      <c r="AL84" t="s">
        <v>1029</v>
      </c>
      <c r="AM84" t="s">
        <v>1030</v>
      </c>
      <c r="AN84" t="s">
        <v>1031</v>
      </c>
      <c r="AO84" t="s">
        <v>1032</v>
      </c>
      <c r="AP84" t="s">
        <v>74</v>
      </c>
      <c r="AQ84" t="s">
        <v>74</v>
      </c>
      <c r="AR84" t="s">
        <v>1033</v>
      </c>
      <c r="AS84" t="s">
        <v>1034</v>
      </c>
      <c r="AT84" t="s">
        <v>74</v>
      </c>
      <c r="AU84">
        <v>2003</v>
      </c>
      <c r="AV84">
        <v>10</v>
      </c>
      <c r="AW84" t="s">
        <v>74</v>
      </c>
      <c r="AX84" t="s">
        <v>74</v>
      </c>
      <c r="AY84" t="s">
        <v>74</v>
      </c>
      <c r="AZ84" t="s">
        <v>74</v>
      </c>
      <c r="BA84" t="s">
        <v>74</v>
      </c>
      <c r="BB84">
        <v>101</v>
      </c>
      <c r="BC84">
        <v>111</v>
      </c>
      <c r="BD84" t="s">
        <v>74</v>
      </c>
      <c r="BE84" t="s">
        <v>74</v>
      </c>
      <c r="BF84" t="s">
        <v>74</v>
      </c>
      <c r="BG84" t="s">
        <v>74</v>
      </c>
      <c r="BH84" t="s">
        <v>74</v>
      </c>
      <c r="BI84">
        <v>11</v>
      </c>
      <c r="BJ84" t="s">
        <v>1035</v>
      </c>
      <c r="BK84" t="s">
        <v>569</v>
      </c>
      <c r="BL84" t="s">
        <v>1035</v>
      </c>
      <c r="BM84" t="s">
        <v>1036</v>
      </c>
      <c r="BN84" t="s">
        <v>74</v>
      </c>
      <c r="BO84" t="s">
        <v>74</v>
      </c>
      <c r="BP84" t="s">
        <v>74</v>
      </c>
      <c r="BQ84" t="s">
        <v>74</v>
      </c>
      <c r="BR84" t="s">
        <v>98</v>
      </c>
      <c r="BS84" t="s">
        <v>1081</v>
      </c>
      <c r="BT84" t="str">
        <f>HYPERLINK("https%3A%2F%2Fwww.webofscience.com%2Fwos%2Fwoscc%2Ffull-record%2FWOS:000188512300007","View Full Record in Web of Science")</f>
        <v>View Full Record in Web of Science</v>
      </c>
    </row>
    <row r="85" spans="1:72" x14ac:dyDescent="0.15">
      <c r="A85" t="s">
        <v>552</v>
      </c>
      <c r="B85" t="s">
        <v>1082</v>
      </c>
      <c r="C85" t="s">
        <v>74</v>
      </c>
      <c r="D85" t="s">
        <v>74</v>
      </c>
      <c r="E85" t="s">
        <v>74</v>
      </c>
      <c r="F85" t="s">
        <v>1082</v>
      </c>
      <c r="G85" t="s">
        <v>74</v>
      </c>
      <c r="H85" t="s">
        <v>74</v>
      </c>
      <c r="I85" t="s">
        <v>1083</v>
      </c>
      <c r="J85" t="s">
        <v>1022</v>
      </c>
      <c r="K85" t="s">
        <v>74</v>
      </c>
      <c r="L85" t="s">
        <v>74</v>
      </c>
      <c r="M85" t="s">
        <v>78</v>
      </c>
      <c r="N85" t="s">
        <v>775</v>
      </c>
      <c r="O85" t="s">
        <v>74</v>
      </c>
      <c r="P85" t="s">
        <v>74</v>
      </c>
      <c r="Q85" t="s">
        <v>74</v>
      </c>
      <c r="R85" t="s">
        <v>74</v>
      </c>
      <c r="S85" t="s">
        <v>74</v>
      </c>
      <c r="T85" t="s">
        <v>1084</v>
      </c>
      <c r="U85" t="s">
        <v>1085</v>
      </c>
      <c r="V85" t="s">
        <v>1086</v>
      </c>
      <c r="W85" t="s">
        <v>1087</v>
      </c>
      <c r="X85" t="s">
        <v>1088</v>
      </c>
      <c r="Y85" t="s">
        <v>1089</v>
      </c>
      <c r="Z85" t="s">
        <v>1090</v>
      </c>
      <c r="AA85" t="s">
        <v>74</v>
      </c>
      <c r="AB85" t="s">
        <v>74</v>
      </c>
      <c r="AC85" t="s">
        <v>74</v>
      </c>
      <c r="AD85" t="s">
        <v>74</v>
      </c>
      <c r="AE85" t="s">
        <v>74</v>
      </c>
      <c r="AF85" t="s">
        <v>74</v>
      </c>
      <c r="AG85">
        <v>24</v>
      </c>
      <c r="AH85">
        <v>47</v>
      </c>
      <c r="AI85">
        <v>49</v>
      </c>
      <c r="AJ85">
        <v>1</v>
      </c>
      <c r="AK85">
        <v>13</v>
      </c>
      <c r="AL85" t="s">
        <v>1029</v>
      </c>
      <c r="AM85" t="s">
        <v>1030</v>
      </c>
      <c r="AN85" t="s">
        <v>1031</v>
      </c>
      <c r="AO85" t="s">
        <v>1032</v>
      </c>
      <c r="AP85" t="s">
        <v>74</v>
      </c>
      <c r="AQ85" t="s">
        <v>74</v>
      </c>
      <c r="AR85" t="s">
        <v>1033</v>
      </c>
      <c r="AS85" t="s">
        <v>1034</v>
      </c>
      <c r="AT85" t="s">
        <v>74</v>
      </c>
      <c r="AU85">
        <v>2003</v>
      </c>
      <c r="AV85">
        <v>10</v>
      </c>
      <c r="AW85" t="s">
        <v>74</v>
      </c>
      <c r="AX85" t="s">
        <v>74</v>
      </c>
      <c r="AY85" t="s">
        <v>74</v>
      </c>
      <c r="AZ85" t="s">
        <v>74</v>
      </c>
      <c r="BA85" t="s">
        <v>74</v>
      </c>
      <c r="BB85">
        <v>113</v>
      </c>
      <c r="BC85">
        <v>123</v>
      </c>
      <c r="BD85" t="s">
        <v>74</v>
      </c>
      <c r="BE85" t="s">
        <v>74</v>
      </c>
      <c r="BF85" t="s">
        <v>74</v>
      </c>
      <c r="BG85" t="s">
        <v>74</v>
      </c>
      <c r="BH85" t="s">
        <v>74</v>
      </c>
      <c r="BI85">
        <v>11</v>
      </c>
      <c r="BJ85" t="s">
        <v>1035</v>
      </c>
      <c r="BK85" t="s">
        <v>569</v>
      </c>
      <c r="BL85" t="s">
        <v>1035</v>
      </c>
      <c r="BM85" t="s">
        <v>1036</v>
      </c>
      <c r="BN85" t="s">
        <v>74</v>
      </c>
      <c r="BO85" t="s">
        <v>74</v>
      </c>
      <c r="BP85" t="s">
        <v>74</v>
      </c>
      <c r="BQ85" t="s">
        <v>74</v>
      </c>
      <c r="BR85" t="s">
        <v>98</v>
      </c>
      <c r="BS85" t="s">
        <v>1091</v>
      </c>
      <c r="BT85" t="str">
        <f>HYPERLINK("https%3A%2F%2Fwww.webofscience.com%2Fwos%2Fwoscc%2Ffull-record%2FWOS:000188512300008","View Full Record in Web of Science")</f>
        <v>View Full Record in Web of Science</v>
      </c>
    </row>
    <row r="86" spans="1:72" x14ac:dyDescent="0.15">
      <c r="A86" t="s">
        <v>552</v>
      </c>
      <c r="B86" t="s">
        <v>1092</v>
      </c>
      <c r="C86" t="s">
        <v>74</v>
      </c>
      <c r="D86" t="s">
        <v>74</v>
      </c>
      <c r="E86" t="s">
        <v>74</v>
      </c>
      <c r="F86" t="s">
        <v>1092</v>
      </c>
      <c r="G86" t="s">
        <v>74</v>
      </c>
      <c r="H86" t="s">
        <v>74</v>
      </c>
      <c r="I86" t="s">
        <v>1093</v>
      </c>
      <c r="J86" t="s">
        <v>1022</v>
      </c>
      <c r="K86" t="s">
        <v>74</v>
      </c>
      <c r="L86" t="s">
        <v>74</v>
      </c>
      <c r="M86" t="s">
        <v>78</v>
      </c>
      <c r="N86" t="s">
        <v>775</v>
      </c>
      <c r="O86" t="s">
        <v>74</v>
      </c>
      <c r="P86" t="s">
        <v>74</v>
      </c>
      <c r="Q86" t="s">
        <v>74</v>
      </c>
      <c r="R86" t="s">
        <v>74</v>
      </c>
      <c r="S86" t="s">
        <v>74</v>
      </c>
      <c r="T86" t="s">
        <v>1094</v>
      </c>
      <c r="U86" t="s">
        <v>1076</v>
      </c>
      <c r="V86" t="s">
        <v>1095</v>
      </c>
      <c r="W86" t="s">
        <v>1096</v>
      </c>
      <c r="X86" t="s">
        <v>1097</v>
      </c>
      <c r="Y86" t="s">
        <v>1098</v>
      </c>
      <c r="Z86" t="s">
        <v>1099</v>
      </c>
      <c r="AA86" t="s">
        <v>74</v>
      </c>
      <c r="AB86" t="s">
        <v>1100</v>
      </c>
      <c r="AC86" t="s">
        <v>74</v>
      </c>
      <c r="AD86" t="s">
        <v>74</v>
      </c>
      <c r="AE86" t="s">
        <v>74</v>
      </c>
      <c r="AF86" t="s">
        <v>74</v>
      </c>
      <c r="AG86">
        <v>13</v>
      </c>
      <c r="AH86">
        <v>20</v>
      </c>
      <c r="AI86">
        <v>20</v>
      </c>
      <c r="AJ86">
        <v>0</v>
      </c>
      <c r="AK86">
        <v>6</v>
      </c>
      <c r="AL86" t="s">
        <v>1029</v>
      </c>
      <c r="AM86" t="s">
        <v>1030</v>
      </c>
      <c r="AN86" t="s">
        <v>1031</v>
      </c>
      <c r="AO86" t="s">
        <v>1032</v>
      </c>
      <c r="AP86" t="s">
        <v>74</v>
      </c>
      <c r="AQ86" t="s">
        <v>74</v>
      </c>
      <c r="AR86" t="s">
        <v>1033</v>
      </c>
      <c r="AS86" t="s">
        <v>1034</v>
      </c>
      <c r="AT86" t="s">
        <v>74</v>
      </c>
      <c r="AU86">
        <v>2003</v>
      </c>
      <c r="AV86">
        <v>10</v>
      </c>
      <c r="AW86" t="s">
        <v>74</v>
      </c>
      <c r="AX86" t="s">
        <v>74</v>
      </c>
      <c r="AY86" t="s">
        <v>74</v>
      </c>
      <c r="AZ86" t="s">
        <v>74</v>
      </c>
      <c r="BA86" t="s">
        <v>74</v>
      </c>
      <c r="BB86">
        <v>125</v>
      </c>
      <c r="BC86">
        <v>138</v>
      </c>
      <c r="BD86" t="s">
        <v>74</v>
      </c>
      <c r="BE86" t="s">
        <v>74</v>
      </c>
      <c r="BF86" t="s">
        <v>74</v>
      </c>
      <c r="BG86" t="s">
        <v>74</v>
      </c>
      <c r="BH86" t="s">
        <v>74</v>
      </c>
      <c r="BI86">
        <v>14</v>
      </c>
      <c r="BJ86" t="s">
        <v>1035</v>
      </c>
      <c r="BK86" t="s">
        <v>569</v>
      </c>
      <c r="BL86" t="s">
        <v>1035</v>
      </c>
      <c r="BM86" t="s">
        <v>1036</v>
      </c>
      <c r="BN86" t="s">
        <v>74</v>
      </c>
      <c r="BO86" t="s">
        <v>74</v>
      </c>
      <c r="BP86" t="s">
        <v>74</v>
      </c>
      <c r="BQ86" t="s">
        <v>74</v>
      </c>
      <c r="BR86" t="s">
        <v>98</v>
      </c>
      <c r="BS86" t="s">
        <v>1101</v>
      </c>
      <c r="BT86" t="str">
        <f>HYPERLINK("https%3A%2F%2Fwww.webofscience.com%2Fwos%2Fwoscc%2Ffull-record%2FWOS:000188512300009","View Full Record in Web of Science")</f>
        <v>View Full Record in Web of Science</v>
      </c>
    </row>
    <row r="87" spans="1:72" x14ac:dyDescent="0.15">
      <c r="A87" t="s">
        <v>552</v>
      </c>
      <c r="B87" t="s">
        <v>1102</v>
      </c>
      <c r="C87" t="s">
        <v>74</v>
      </c>
      <c r="D87" t="s">
        <v>74</v>
      </c>
      <c r="E87" t="s">
        <v>74</v>
      </c>
      <c r="F87" t="s">
        <v>1102</v>
      </c>
      <c r="G87" t="s">
        <v>74</v>
      </c>
      <c r="H87" t="s">
        <v>74</v>
      </c>
      <c r="I87" t="s">
        <v>1103</v>
      </c>
      <c r="J87" t="s">
        <v>1022</v>
      </c>
      <c r="K87" t="s">
        <v>74</v>
      </c>
      <c r="L87" t="s">
        <v>74</v>
      </c>
      <c r="M87" t="s">
        <v>78</v>
      </c>
      <c r="N87" t="s">
        <v>775</v>
      </c>
      <c r="O87" t="s">
        <v>74</v>
      </c>
      <c r="P87" t="s">
        <v>74</v>
      </c>
      <c r="Q87" t="s">
        <v>74</v>
      </c>
      <c r="R87" t="s">
        <v>74</v>
      </c>
      <c r="S87" t="s">
        <v>74</v>
      </c>
      <c r="T87" t="s">
        <v>1104</v>
      </c>
      <c r="U87" t="s">
        <v>1105</v>
      </c>
      <c r="V87" t="s">
        <v>1106</v>
      </c>
      <c r="W87" t="s">
        <v>1107</v>
      </c>
      <c r="X87" t="s">
        <v>302</v>
      </c>
      <c r="Y87" t="s">
        <v>1108</v>
      </c>
      <c r="Z87" t="s">
        <v>1109</v>
      </c>
      <c r="AA87" t="s">
        <v>74</v>
      </c>
      <c r="AB87" t="s">
        <v>74</v>
      </c>
      <c r="AC87" t="s">
        <v>74</v>
      </c>
      <c r="AD87" t="s">
        <v>74</v>
      </c>
      <c r="AE87" t="s">
        <v>74</v>
      </c>
      <c r="AF87" t="s">
        <v>74</v>
      </c>
      <c r="AG87">
        <v>25</v>
      </c>
      <c r="AH87">
        <v>5</v>
      </c>
      <c r="AI87">
        <v>6</v>
      </c>
      <c r="AJ87">
        <v>0</v>
      </c>
      <c r="AK87">
        <v>6</v>
      </c>
      <c r="AL87" t="s">
        <v>1029</v>
      </c>
      <c r="AM87" t="s">
        <v>1030</v>
      </c>
      <c r="AN87" t="s">
        <v>1031</v>
      </c>
      <c r="AO87" t="s">
        <v>1032</v>
      </c>
      <c r="AP87" t="s">
        <v>74</v>
      </c>
      <c r="AQ87" t="s">
        <v>74</v>
      </c>
      <c r="AR87" t="s">
        <v>1033</v>
      </c>
      <c r="AS87" t="s">
        <v>1034</v>
      </c>
      <c r="AT87" t="s">
        <v>74</v>
      </c>
      <c r="AU87">
        <v>2003</v>
      </c>
      <c r="AV87">
        <v>10</v>
      </c>
      <c r="AW87" t="s">
        <v>74</v>
      </c>
      <c r="AX87" t="s">
        <v>74</v>
      </c>
      <c r="AY87" t="s">
        <v>74</v>
      </c>
      <c r="AZ87" t="s">
        <v>74</v>
      </c>
      <c r="BA87" t="s">
        <v>74</v>
      </c>
      <c r="BB87">
        <v>139</v>
      </c>
      <c r="BC87">
        <v>151</v>
      </c>
      <c r="BD87" t="s">
        <v>74</v>
      </c>
      <c r="BE87" t="s">
        <v>74</v>
      </c>
      <c r="BF87" t="s">
        <v>74</v>
      </c>
      <c r="BG87" t="s">
        <v>74</v>
      </c>
      <c r="BH87" t="s">
        <v>74</v>
      </c>
      <c r="BI87">
        <v>13</v>
      </c>
      <c r="BJ87" t="s">
        <v>1035</v>
      </c>
      <c r="BK87" t="s">
        <v>569</v>
      </c>
      <c r="BL87" t="s">
        <v>1035</v>
      </c>
      <c r="BM87" t="s">
        <v>1036</v>
      </c>
      <c r="BN87" t="s">
        <v>74</v>
      </c>
      <c r="BO87" t="s">
        <v>74</v>
      </c>
      <c r="BP87" t="s">
        <v>74</v>
      </c>
      <c r="BQ87" t="s">
        <v>74</v>
      </c>
      <c r="BR87" t="s">
        <v>98</v>
      </c>
      <c r="BS87" t="s">
        <v>1110</v>
      </c>
      <c r="BT87" t="str">
        <f>HYPERLINK("https%3A%2F%2Fwww.webofscience.com%2Fwos%2Fwoscc%2Ffull-record%2FWOS:000188512300010","View Full Record in Web of Science")</f>
        <v>View Full Record in Web of Science</v>
      </c>
    </row>
    <row r="88" spans="1:72" x14ac:dyDescent="0.15">
      <c r="A88" t="s">
        <v>552</v>
      </c>
      <c r="B88" t="s">
        <v>1111</v>
      </c>
      <c r="C88" t="s">
        <v>74</v>
      </c>
      <c r="D88" t="s">
        <v>74</v>
      </c>
      <c r="E88" t="s">
        <v>74</v>
      </c>
      <c r="F88" t="s">
        <v>1111</v>
      </c>
      <c r="G88" t="s">
        <v>74</v>
      </c>
      <c r="H88" t="s">
        <v>74</v>
      </c>
      <c r="I88" t="s">
        <v>1112</v>
      </c>
      <c r="J88" t="s">
        <v>1113</v>
      </c>
      <c r="K88" t="s">
        <v>74</v>
      </c>
      <c r="L88" t="s">
        <v>74</v>
      </c>
      <c r="M88" t="s">
        <v>78</v>
      </c>
      <c r="N88" t="s">
        <v>1114</v>
      </c>
      <c r="O88" t="s">
        <v>74</v>
      </c>
      <c r="P88" t="s">
        <v>74</v>
      </c>
      <c r="Q88" t="s">
        <v>74</v>
      </c>
      <c r="R88" t="s">
        <v>74</v>
      </c>
      <c r="S88" t="s">
        <v>74</v>
      </c>
      <c r="T88" t="s">
        <v>1115</v>
      </c>
      <c r="U88" t="s">
        <v>1116</v>
      </c>
      <c r="V88" t="s">
        <v>1117</v>
      </c>
      <c r="W88" t="s">
        <v>1118</v>
      </c>
      <c r="X88" t="s">
        <v>1119</v>
      </c>
      <c r="Y88" t="s">
        <v>1120</v>
      </c>
      <c r="Z88" t="s">
        <v>1121</v>
      </c>
      <c r="AA88" t="s">
        <v>74</v>
      </c>
      <c r="AB88" t="s">
        <v>1122</v>
      </c>
      <c r="AC88" t="s">
        <v>74</v>
      </c>
      <c r="AD88" t="s">
        <v>74</v>
      </c>
      <c r="AE88" t="s">
        <v>74</v>
      </c>
      <c r="AF88" t="s">
        <v>74</v>
      </c>
      <c r="AG88">
        <v>67</v>
      </c>
      <c r="AH88">
        <v>48</v>
      </c>
      <c r="AI88">
        <v>57</v>
      </c>
      <c r="AJ88">
        <v>2</v>
      </c>
      <c r="AK88">
        <v>43</v>
      </c>
      <c r="AL88" t="s">
        <v>1123</v>
      </c>
      <c r="AM88" t="s">
        <v>1124</v>
      </c>
      <c r="AN88" t="s">
        <v>1125</v>
      </c>
      <c r="AO88" t="s">
        <v>1126</v>
      </c>
      <c r="AP88" t="s">
        <v>1127</v>
      </c>
      <c r="AQ88" t="s">
        <v>74</v>
      </c>
      <c r="AR88" t="s">
        <v>1128</v>
      </c>
      <c r="AS88" t="s">
        <v>1129</v>
      </c>
      <c r="AT88" t="s">
        <v>74</v>
      </c>
      <c r="AU88">
        <v>2003</v>
      </c>
      <c r="AV88">
        <v>39</v>
      </c>
      <c r="AW88">
        <v>2</v>
      </c>
      <c r="AX88" t="s">
        <v>74</v>
      </c>
      <c r="AY88" t="s">
        <v>74</v>
      </c>
      <c r="AZ88" t="s">
        <v>74</v>
      </c>
      <c r="BA88" t="s">
        <v>74</v>
      </c>
      <c r="BB88">
        <v>133</v>
      </c>
      <c r="BC88">
        <v>144</v>
      </c>
      <c r="BD88" t="s">
        <v>74</v>
      </c>
      <c r="BE88" t="s">
        <v>1130</v>
      </c>
      <c r="BF88" t="str">
        <f>HYPERLINK("http://dx.doi.org/10.1385/CBB:39:2:133","http://dx.doi.org/10.1385/CBB:39:2:133")</f>
        <v>http://dx.doi.org/10.1385/CBB:39:2:133</v>
      </c>
      <c r="BG88" t="s">
        <v>74</v>
      </c>
      <c r="BH88" t="s">
        <v>74</v>
      </c>
      <c r="BI88">
        <v>12</v>
      </c>
      <c r="BJ88" t="s">
        <v>1131</v>
      </c>
      <c r="BK88" t="s">
        <v>569</v>
      </c>
      <c r="BL88" t="s">
        <v>1131</v>
      </c>
      <c r="BM88" t="s">
        <v>1132</v>
      </c>
      <c r="BN88">
        <v>14515019</v>
      </c>
      <c r="BO88" t="s">
        <v>74</v>
      </c>
      <c r="BP88" t="s">
        <v>74</v>
      </c>
      <c r="BQ88" t="s">
        <v>74</v>
      </c>
      <c r="BR88" t="s">
        <v>98</v>
      </c>
      <c r="BS88" t="s">
        <v>1133</v>
      </c>
      <c r="BT88" t="str">
        <f>HYPERLINK("https%3A%2F%2Fwww.webofscience.com%2Fwos%2Fwoscc%2Ffull-record%2FWOS:000185774400004","View Full Record in Web of Science")</f>
        <v>View Full Record in Web of Science</v>
      </c>
    </row>
    <row r="89" spans="1:72" x14ac:dyDescent="0.15">
      <c r="A89" t="s">
        <v>552</v>
      </c>
      <c r="B89" t="s">
        <v>1134</v>
      </c>
      <c r="C89" t="s">
        <v>74</v>
      </c>
      <c r="D89" t="s">
        <v>74</v>
      </c>
      <c r="E89" t="s">
        <v>74</v>
      </c>
      <c r="F89" t="s">
        <v>1134</v>
      </c>
      <c r="G89" t="s">
        <v>74</v>
      </c>
      <c r="H89" t="s">
        <v>74</v>
      </c>
      <c r="I89" t="s">
        <v>1135</v>
      </c>
      <c r="J89" t="s">
        <v>1136</v>
      </c>
      <c r="K89" t="s">
        <v>74</v>
      </c>
      <c r="L89" t="s">
        <v>74</v>
      </c>
      <c r="M89" t="s">
        <v>78</v>
      </c>
      <c r="N89" t="s">
        <v>576</v>
      </c>
      <c r="O89" t="s">
        <v>1137</v>
      </c>
      <c r="P89" t="s">
        <v>1138</v>
      </c>
      <c r="Q89" t="s">
        <v>1139</v>
      </c>
      <c r="R89" t="s">
        <v>74</v>
      </c>
      <c r="S89" t="s">
        <v>74</v>
      </c>
      <c r="T89" t="s">
        <v>74</v>
      </c>
      <c r="U89" t="s">
        <v>1140</v>
      </c>
      <c r="V89" t="s">
        <v>74</v>
      </c>
      <c r="W89" t="s">
        <v>1141</v>
      </c>
      <c r="X89" t="s">
        <v>1142</v>
      </c>
      <c r="Y89" t="s">
        <v>1143</v>
      </c>
      <c r="Z89" t="s">
        <v>1144</v>
      </c>
      <c r="AA89" t="s">
        <v>1145</v>
      </c>
      <c r="AB89" t="s">
        <v>1146</v>
      </c>
      <c r="AC89" t="s">
        <v>74</v>
      </c>
      <c r="AD89" t="s">
        <v>74</v>
      </c>
      <c r="AE89" t="s">
        <v>74</v>
      </c>
      <c r="AF89" t="s">
        <v>74</v>
      </c>
      <c r="AG89">
        <v>15</v>
      </c>
      <c r="AH89">
        <v>11</v>
      </c>
      <c r="AI89">
        <v>13</v>
      </c>
      <c r="AJ89">
        <v>0</v>
      </c>
      <c r="AK89">
        <v>3</v>
      </c>
      <c r="AL89" t="s">
        <v>1147</v>
      </c>
      <c r="AM89" t="s">
        <v>1148</v>
      </c>
      <c r="AN89" t="s">
        <v>1149</v>
      </c>
      <c r="AO89" t="s">
        <v>1150</v>
      </c>
      <c r="AP89" t="s">
        <v>1151</v>
      </c>
      <c r="AQ89" t="s">
        <v>74</v>
      </c>
      <c r="AR89" t="s">
        <v>1152</v>
      </c>
      <c r="AS89" t="s">
        <v>1153</v>
      </c>
      <c r="AT89" t="s">
        <v>74</v>
      </c>
      <c r="AU89">
        <v>2003</v>
      </c>
      <c r="AV89">
        <v>27</v>
      </c>
      <c r="AW89">
        <v>3</v>
      </c>
      <c r="AX89" t="s">
        <v>74</v>
      </c>
      <c r="AY89" t="s">
        <v>74</v>
      </c>
      <c r="AZ89" t="s">
        <v>74</v>
      </c>
      <c r="BA89" t="s">
        <v>74</v>
      </c>
      <c r="BB89">
        <v>241</v>
      </c>
      <c r="BC89">
        <v>243</v>
      </c>
      <c r="BD89" t="s">
        <v>74</v>
      </c>
      <c r="BE89" t="s">
        <v>1154</v>
      </c>
      <c r="BF89" t="str">
        <f>HYPERLINK("http://dx.doi.org/10.1016/S1065-6995(02)00342-6","http://dx.doi.org/10.1016/S1065-6995(02)00342-6")</f>
        <v>http://dx.doi.org/10.1016/S1065-6995(02)00342-6</v>
      </c>
      <c r="BG89" t="s">
        <v>74</v>
      </c>
      <c r="BH89" t="s">
        <v>74</v>
      </c>
      <c r="BI89">
        <v>3</v>
      </c>
      <c r="BJ89" t="s">
        <v>1155</v>
      </c>
      <c r="BK89" t="s">
        <v>605</v>
      </c>
      <c r="BL89" t="s">
        <v>1155</v>
      </c>
      <c r="BM89" t="s">
        <v>1156</v>
      </c>
      <c r="BN89">
        <v>12681322</v>
      </c>
      <c r="BO89" t="s">
        <v>74</v>
      </c>
      <c r="BP89" t="s">
        <v>74</v>
      </c>
      <c r="BQ89" t="s">
        <v>74</v>
      </c>
      <c r="BR89" t="s">
        <v>98</v>
      </c>
      <c r="BS89" t="s">
        <v>1157</v>
      </c>
      <c r="BT89" t="str">
        <f>HYPERLINK("https%3A%2F%2Fwww.webofscience.com%2Fwos%2Fwoscc%2Ffull-record%2FWOS:000182124000028","View Full Record in Web of Science")</f>
        <v>View Full Record in Web of Science</v>
      </c>
    </row>
    <row r="90" spans="1:72" x14ac:dyDescent="0.15">
      <c r="A90" t="s">
        <v>552</v>
      </c>
      <c r="B90" t="s">
        <v>1158</v>
      </c>
      <c r="C90" t="s">
        <v>74</v>
      </c>
      <c r="D90" t="s">
        <v>74</v>
      </c>
      <c r="E90" t="s">
        <v>74</v>
      </c>
      <c r="F90" t="s">
        <v>1158</v>
      </c>
      <c r="G90" t="s">
        <v>74</v>
      </c>
      <c r="H90" t="s">
        <v>74</v>
      </c>
      <c r="I90" t="s">
        <v>1159</v>
      </c>
      <c r="J90" t="s">
        <v>1160</v>
      </c>
      <c r="K90" t="s">
        <v>74</v>
      </c>
      <c r="L90" t="s">
        <v>74</v>
      </c>
      <c r="M90" t="s">
        <v>78</v>
      </c>
      <c r="N90" t="s">
        <v>775</v>
      </c>
      <c r="O90" t="s">
        <v>74</v>
      </c>
      <c r="P90" t="s">
        <v>74</v>
      </c>
      <c r="Q90" t="s">
        <v>74</v>
      </c>
      <c r="R90" t="s">
        <v>74</v>
      </c>
      <c r="S90" t="s">
        <v>74</v>
      </c>
      <c r="T90" t="s">
        <v>74</v>
      </c>
      <c r="U90" t="s">
        <v>1161</v>
      </c>
      <c r="V90" t="s">
        <v>1162</v>
      </c>
      <c r="W90" t="s">
        <v>1163</v>
      </c>
      <c r="X90" t="s">
        <v>1164</v>
      </c>
      <c r="Y90" t="s">
        <v>1165</v>
      </c>
      <c r="Z90" t="s">
        <v>74</v>
      </c>
      <c r="AA90" t="s">
        <v>74</v>
      </c>
      <c r="AB90" t="s">
        <v>1166</v>
      </c>
      <c r="AC90" t="s">
        <v>74</v>
      </c>
      <c r="AD90" t="s">
        <v>74</v>
      </c>
      <c r="AE90" t="s">
        <v>74</v>
      </c>
      <c r="AF90" t="s">
        <v>74</v>
      </c>
      <c r="AG90">
        <v>15</v>
      </c>
      <c r="AH90">
        <v>9</v>
      </c>
      <c r="AI90">
        <v>10</v>
      </c>
      <c r="AJ90">
        <v>0</v>
      </c>
      <c r="AK90">
        <v>1</v>
      </c>
      <c r="AL90" t="s">
        <v>1167</v>
      </c>
      <c r="AM90" t="s">
        <v>1168</v>
      </c>
      <c r="AN90" t="s">
        <v>1169</v>
      </c>
      <c r="AO90" t="s">
        <v>1170</v>
      </c>
      <c r="AP90" t="s">
        <v>74</v>
      </c>
      <c r="AQ90" t="s">
        <v>74</v>
      </c>
      <c r="AR90" t="s">
        <v>1171</v>
      </c>
      <c r="AS90" t="s">
        <v>1172</v>
      </c>
      <c r="AT90" t="s">
        <v>74</v>
      </c>
      <c r="AU90">
        <v>2003</v>
      </c>
      <c r="AV90" t="s">
        <v>74</v>
      </c>
      <c r="AW90">
        <v>5</v>
      </c>
      <c r="AX90" t="s">
        <v>74</v>
      </c>
      <c r="AY90" t="s">
        <v>74</v>
      </c>
      <c r="AZ90" t="s">
        <v>74</v>
      </c>
      <c r="BA90" t="s">
        <v>74</v>
      </c>
      <c r="BB90">
        <v>624</v>
      </c>
      <c r="BC90">
        <v>625</v>
      </c>
      <c r="BD90" t="s">
        <v>74</v>
      </c>
      <c r="BE90" t="s">
        <v>1173</v>
      </c>
      <c r="BF90" t="str">
        <f>HYPERLINK("http://dx.doi.org/10.1039/b212243j","http://dx.doi.org/10.1039/b212243j")</f>
        <v>http://dx.doi.org/10.1039/b212243j</v>
      </c>
      <c r="BG90" t="s">
        <v>74</v>
      </c>
      <c r="BH90" t="s">
        <v>74</v>
      </c>
      <c r="BI90">
        <v>2</v>
      </c>
      <c r="BJ90" t="s">
        <v>862</v>
      </c>
      <c r="BK90" t="s">
        <v>1174</v>
      </c>
      <c r="BL90" t="s">
        <v>863</v>
      </c>
      <c r="BM90" t="s">
        <v>1175</v>
      </c>
      <c r="BN90">
        <v>12669856</v>
      </c>
      <c r="BO90" t="s">
        <v>74</v>
      </c>
      <c r="BP90" t="s">
        <v>74</v>
      </c>
      <c r="BQ90" t="s">
        <v>74</v>
      </c>
      <c r="BR90" t="s">
        <v>98</v>
      </c>
      <c r="BS90" t="s">
        <v>1176</v>
      </c>
      <c r="BT90" t="str">
        <f>HYPERLINK("https%3A%2F%2Fwww.webofscience.com%2Fwos%2Fwoscc%2Ffull-record%2FWOS:000181066600032","View Full Record in Web of Science")</f>
        <v>View Full Record in Web of Science</v>
      </c>
    </row>
    <row r="91" spans="1:72" x14ac:dyDescent="0.15">
      <c r="A91" t="s">
        <v>552</v>
      </c>
      <c r="B91" t="s">
        <v>1177</v>
      </c>
      <c r="C91" t="s">
        <v>74</v>
      </c>
      <c r="D91" t="s">
        <v>74</v>
      </c>
      <c r="E91" t="s">
        <v>74</v>
      </c>
      <c r="F91" t="s">
        <v>1177</v>
      </c>
      <c r="G91" t="s">
        <v>74</v>
      </c>
      <c r="H91" t="s">
        <v>74</v>
      </c>
      <c r="I91" t="s">
        <v>1178</v>
      </c>
      <c r="J91" t="s">
        <v>1179</v>
      </c>
      <c r="K91" t="s">
        <v>74</v>
      </c>
      <c r="L91" t="s">
        <v>74</v>
      </c>
      <c r="M91" t="s">
        <v>78</v>
      </c>
      <c r="N91" t="s">
        <v>775</v>
      </c>
      <c r="O91" t="s">
        <v>74</v>
      </c>
      <c r="P91" t="s">
        <v>74</v>
      </c>
      <c r="Q91" t="s">
        <v>74</v>
      </c>
      <c r="R91" t="s">
        <v>74</v>
      </c>
      <c r="S91" t="s">
        <v>74</v>
      </c>
      <c r="T91" t="s">
        <v>1180</v>
      </c>
      <c r="U91" t="s">
        <v>1181</v>
      </c>
      <c r="V91" t="s">
        <v>1182</v>
      </c>
      <c r="W91" t="s">
        <v>1183</v>
      </c>
      <c r="X91" t="s">
        <v>1184</v>
      </c>
      <c r="Y91" t="s">
        <v>1185</v>
      </c>
      <c r="Z91" t="s">
        <v>1186</v>
      </c>
      <c r="AA91" t="s">
        <v>1187</v>
      </c>
      <c r="AB91" t="s">
        <v>1188</v>
      </c>
      <c r="AC91" t="s">
        <v>74</v>
      </c>
      <c r="AD91" t="s">
        <v>74</v>
      </c>
      <c r="AE91" t="s">
        <v>74</v>
      </c>
      <c r="AF91" t="s">
        <v>74</v>
      </c>
      <c r="AG91">
        <v>52</v>
      </c>
      <c r="AH91">
        <v>5</v>
      </c>
      <c r="AI91">
        <v>5</v>
      </c>
      <c r="AJ91">
        <v>2</v>
      </c>
      <c r="AK91">
        <v>16</v>
      </c>
      <c r="AL91" t="s">
        <v>806</v>
      </c>
      <c r="AM91" t="s">
        <v>807</v>
      </c>
      <c r="AN91" t="s">
        <v>808</v>
      </c>
      <c r="AO91" t="s">
        <v>1189</v>
      </c>
      <c r="AP91" t="s">
        <v>1190</v>
      </c>
      <c r="AQ91" t="s">
        <v>74</v>
      </c>
      <c r="AR91" t="s">
        <v>1179</v>
      </c>
      <c r="AS91" t="s">
        <v>1191</v>
      </c>
      <c r="AT91" t="s">
        <v>566</v>
      </c>
      <c r="AU91">
        <v>2003</v>
      </c>
      <c r="AV91">
        <v>50</v>
      </c>
      <c r="AW91">
        <v>2</v>
      </c>
      <c r="AX91" t="s">
        <v>74</v>
      </c>
      <c r="AY91" t="s">
        <v>74</v>
      </c>
      <c r="AZ91" t="s">
        <v>74</v>
      </c>
      <c r="BA91" t="s">
        <v>74</v>
      </c>
      <c r="BB91">
        <v>177</v>
      </c>
      <c r="BC91">
        <v>190</v>
      </c>
      <c r="BD91" t="s">
        <v>1192</v>
      </c>
      <c r="BE91" t="s">
        <v>1193</v>
      </c>
      <c r="BF91" t="str">
        <f>HYPERLINK("http://dx.doi.org/10.1016/S0045-6535(02)00599-4","http://dx.doi.org/10.1016/S0045-6535(02)00599-4")</f>
        <v>http://dx.doi.org/10.1016/S0045-6535(02)00599-4</v>
      </c>
      <c r="BG91" t="s">
        <v>74</v>
      </c>
      <c r="BH91" t="s">
        <v>74</v>
      </c>
      <c r="BI91">
        <v>14</v>
      </c>
      <c r="BJ91" t="s">
        <v>1194</v>
      </c>
      <c r="BK91" t="s">
        <v>569</v>
      </c>
      <c r="BL91" t="s">
        <v>1195</v>
      </c>
      <c r="BM91" t="s">
        <v>1196</v>
      </c>
      <c r="BN91">
        <v>12653290</v>
      </c>
      <c r="BO91" t="s">
        <v>74</v>
      </c>
      <c r="BP91" t="s">
        <v>74</v>
      </c>
      <c r="BQ91" t="s">
        <v>74</v>
      </c>
      <c r="BR91" t="s">
        <v>98</v>
      </c>
      <c r="BS91" t="s">
        <v>1197</v>
      </c>
      <c r="BT91" t="str">
        <f>HYPERLINK("https%3A%2F%2Fwww.webofscience.com%2Fwos%2Fwoscc%2Ffull-record%2FWOS:000180077900001","View Full Record in Web of Science")</f>
        <v>View Full Record in Web of Science</v>
      </c>
    </row>
    <row r="92" spans="1:72" x14ac:dyDescent="0.15">
      <c r="A92" t="s">
        <v>552</v>
      </c>
      <c r="B92" t="s">
        <v>1198</v>
      </c>
      <c r="C92" t="s">
        <v>74</v>
      </c>
      <c r="D92" t="s">
        <v>74</v>
      </c>
      <c r="E92" t="s">
        <v>74</v>
      </c>
      <c r="F92" t="s">
        <v>1198</v>
      </c>
      <c r="G92" t="s">
        <v>74</v>
      </c>
      <c r="H92" t="s">
        <v>74</v>
      </c>
      <c r="I92" t="s">
        <v>1199</v>
      </c>
      <c r="J92" t="s">
        <v>1200</v>
      </c>
      <c r="K92" t="s">
        <v>74</v>
      </c>
      <c r="L92" t="s">
        <v>74</v>
      </c>
      <c r="M92" t="s">
        <v>78</v>
      </c>
      <c r="N92" t="s">
        <v>775</v>
      </c>
      <c r="O92" t="s">
        <v>74</v>
      </c>
      <c r="P92" t="s">
        <v>74</v>
      </c>
      <c r="Q92" t="s">
        <v>74</v>
      </c>
      <c r="R92" t="s">
        <v>74</v>
      </c>
      <c r="S92" t="s">
        <v>74</v>
      </c>
      <c r="T92" t="s">
        <v>1201</v>
      </c>
      <c r="U92" t="s">
        <v>1202</v>
      </c>
      <c r="V92" t="s">
        <v>1203</v>
      </c>
      <c r="W92" t="s">
        <v>1204</v>
      </c>
      <c r="X92" t="s">
        <v>1205</v>
      </c>
      <c r="Y92" t="s">
        <v>1206</v>
      </c>
      <c r="Z92" t="s">
        <v>74</v>
      </c>
      <c r="AA92" t="s">
        <v>1207</v>
      </c>
      <c r="AB92" t="s">
        <v>1208</v>
      </c>
      <c r="AC92" t="s">
        <v>74</v>
      </c>
      <c r="AD92" t="s">
        <v>74</v>
      </c>
      <c r="AE92" t="s">
        <v>74</v>
      </c>
      <c r="AF92" t="s">
        <v>74</v>
      </c>
      <c r="AG92">
        <v>34</v>
      </c>
      <c r="AH92">
        <v>14</v>
      </c>
      <c r="AI92">
        <v>15</v>
      </c>
      <c r="AJ92">
        <v>0</v>
      </c>
      <c r="AK92">
        <v>7</v>
      </c>
      <c r="AL92" t="s">
        <v>1209</v>
      </c>
      <c r="AM92" t="s">
        <v>1210</v>
      </c>
      <c r="AN92" t="s">
        <v>1211</v>
      </c>
      <c r="AO92" t="s">
        <v>1212</v>
      </c>
      <c r="AP92" t="s">
        <v>74</v>
      </c>
      <c r="AQ92" t="s">
        <v>74</v>
      </c>
      <c r="AR92" t="s">
        <v>1213</v>
      </c>
      <c r="AS92" t="s">
        <v>1214</v>
      </c>
      <c r="AT92" t="s">
        <v>74</v>
      </c>
      <c r="AU92">
        <v>2003</v>
      </c>
      <c r="AV92">
        <v>11</v>
      </c>
      <c r="AW92">
        <v>6</v>
      </c>
      <c r="AX92" t="s">
        <v>74</v>
      </c>
      <c r="AY92" t="s">
        <v>74</v>
      </c>
      <c r="AZ92" t="s">
        <v>74</v>
      </c>
      <c r="BA92" t="s">
        <v>74</v>
      </c>
      <c r="BB92">
        <v>633</v>
      </c>
      <c r="BC92">
        <v>640</v>
      </c>
      <c r="BD92" t="s">
        <v>74</v>
      </c>
      <c r="BE92" t="s">
        <v>1215</v>
      </c>
      <c r="BF92" t="str">
        <f>HYPERLINK("http://dx.doi.org/10.1023/A:1024961103663","http://dx.doi.org/10.1023/A:1024961103663")</f>
        <v>http://dx.doi.org/10.1023/A:1024961103663</v>
      </c>
      <c r="BG92" t="s">
        <v>74</v>
      </c>
      <c r="BH92" t="s">
        <v>74</v>
      </c>
      <c r="BI92">
        <v>8</v>
      </c>
      <c r="BJ92" t="s">
        <v>1216</v>
      </c>
      <c r="BK92" t="s">
        <v>569</v>
      </c>
      <c r="BL92" t="s">
        <v>1216</v>
      </c>
      <c r="BM92" t="s">
        <v>1217</v>
      </c>
      <c r="BN92">
        <v>14516071</v>
      </c>
      <c r="BO92" t="s">
        <v>74</v>
      </c>
      <c r="BP92" t="s">
        <v>74</v>
      </c>
      <c r="BQ92" t="s">
        <v>74</v>
      </c>
      <c r="BR92" t="s">
        <v>98</v>
      </c>
      <c r="BS92" t="s">
        <v>1218</v>
      </c>
      <c r="BT92" t="str">
        <f>HYPERLINK("https%3A%2F%2Fwww.webofscience.com%2Fwos%2Fwoscc%2Ffull-record%2FWOS:000184417500009","View Full Record in Web of Science")</f>
        <v>View Full Record in Web of Science</v>
      </c>
    </row>
    <row r="93" spans="1:72" x14ac:dyDescent="0.15">
      <c r="A93" t="s">
        <v>552</v>
      </c>
      <c r="B93" t="s">
        <v>1219</v>
      </c>
      <c r="C93" t="s">
        <v>74</v>
      </c>
      <c r="D93" t="s">
        <v>74</v>
      </c>
      <c r="E93" t="s">
        <v>74</v>
      </c>
      <c r="F93" t="s">
        <v>1219</v>
      </c>
      <c r="G93" t="s">
        <v>74</v>
      </c>
      <c r="H93" t="s">
        <v>74</v>
      </c>
      <c r="I93" t="s">
        <v>1220</v>
      </c>
      <c r="J93" t="s">
        <v>1221</v>
      </c>
      <c r="K93" t="s">
        <v>74</v>
      </c>
      <c r="L93" t="s">
        <v>74</v>
      </c>
      <c r="M93" t="s">
        <v>78</v>
      </c>
      <c r="N93" t="s">
        <v>1114</v>
      </c>
      <c r="O93" t="s">
        <v>74</v>
      </c>
      <c r="P93" t="s">
        <v>74</v>
      </c>
      <c r="Q93" t="s">
        <v>74</v>
      </c>
      <c r="R93" t="s">
        <v>74</v>
      </c>
      <c r="S93" t="s">
        <v>74</v>
      </c>
      <c r="T93" t="s">
        <v>74</v>
      </c>
      <c r="U93" t="s">
        <v>1222</v>
      </c>
      <c r="V93" t="s">
        <v>1223</v>
      </c>
      <c r="W93" t="s">
        <v>1224</v>
      </c>
      <c r="X93" t="s">
        <v>1225</v>
      </c>
      <c r="Y93" t="s">
        <v>1226</v>
      </c>
      <c r="Z93" t="s">
        <v>1227</v>
      </c>
      <c r="AA93" t="s">
        <v>1228</v>
      </c>
      <c r="AB93" t="s">
        <v>1229</v>
      </c>
      <c r="AC93" t="s">
        <v>74</v>
      </c>
      <c r="AD93" t="s">
        <v>74</v>
      </c>
      <c r="AE93" t="s">
        <v>74</v>
      </c>
      <c r="AF93" t="s">
        <v>74</v>
      </c>
      <c r="AG93">
        <v>108</v>
      </c>
      <c r="AH93">
        <v>204</v>
      </c>
      <c r="AI93">
        <v>228</v>
      </c>
      <c r="AJ93">
        <v>4</v>
      </c>
      <c r="AK93">
        <v>51</v>
      </c>
      <c r="AL93" t="s">
        <v>1230</v>
      </c>
      <c r="AM93" t="s">
        <v>561</v>
      </c>
      <c r="AN93" t="s">
        <v>1231</v>
      </c>
      <c r="AO93" t="s">
        <v>1232</v>
      </c>
      <c r="AP93" t="s">
        <v>1233</v>
      </c>
      <c r="AQ93" t="s">
        <v>74</v>
      </c>
      <c r="AR93" t="s">
        <v>1234</v>
      </c>
      <c r="AS93" t="s">
        <v>1235</v>
      </c>
      <c r="AT93" t="s">
        <v>566</v>
      </c>
      <c r="AU93">
        <v>2003</v>
      </c>
      <c r="AV93">
        <v>20</v>
      </c>
      <c r="AW93" t="s">
        <v>860</v>
      </c>
      <c r="AX93" t="s">
        <v>74</v>
      </c>
      <c r="AY93" t="s">
        <v>74</v>
      </c>
      <c r="AZ93" t="s">
        <v>74</v>
      </c>
      <c r="BA93" t="s">
        <v>74</v>
      </c>
      <c r="BB93">
        <v>127</v>
      </c>
      <c r="BC93">
        <v>151</v>
      </c>
      <c r="BD93" t="s">
        <v>74</v>
      </c>
      <c r="BE93" t="s">
        <v>1236</v>
      </c>
      <c r="BF93" t="str">
        <f>HYPERLINK("http://dx.doi.org/10.1007/s00382-002-0260-x","http://dx.doi.org/10.1007/s00382-002-0260-x")</f>
        <v>http://dx.doi.org/10.1007/s00382-002-0260-x</v>
      </c>
      <c r="BG93" t="s">
        <v>74</v>
      </c>
      <c r="BH93" t="s">
        <v>74</v>
      </c>
      <c r="BI93">
        <v>25</v>
      </c>
      <c r="BJ93" t="s">
        <v>1237</v>
      </c>
      <c r="BK93" t="s">
        <v>569</v>
      </c>
      <c r="BL93" t="s">
        <v>1237</v>
      </c>
      <c r="BM93" t="s">
        <v>1238</v>
      </c>
      <c r="BN93" t="s">
        <v>74</v>
      </c>
      <c r="BO93" t="s">
        <v>74</v>
      </c>
      <c r="BP93" t="s">
        <v>74</v>
      </c>
      <c r="BQ93" t="s">
        <v>74</v>
      </c>
      <c r="BR93" t="s">
        <v>98</v>
      </c>
      <c r="BS93" t="s">
        <v>1239</v>
      </c>
      <c r="BT93" t="str">
        <f>HYPERLINK("https%3A%2F%2Fwww.webofscience.com%2Fwos%2Fwoscc%2Ffull-record%2FWOS:000180835700002","View Full Record in Web of Science")</f>
        <v>View Full Record in Web of Science</v>
      </c>
    </row>
    <row r="94" spans="1:72" x14ac:dyDescent="0.15">
      <c r="A94" t="s">
        <v>552</v>
      </c>
      <c r="B94" t="s">
        <v>1240</v>
      </c>
      <c r="C94" t="s">
        <v>74</v>
      </c>
      <c r="D94" t="s">
        <v>74</v>
      </c>
      <c r="E94" t="s">
        <v>74</v>
      </c>
      <c r="F94" t="s">
        <v>1240</v>
      </c>
      <c r="G94" t="s">
        <v>74</v>
      </c>
      <c r="H94" t="s">
        <v>74</v>
      </c>
      <c r="I94" t="s">
        <v>1241</v>
      </c>
      <c r="J94" t="s">
        <v>1221</v>
      </c>
      <c r="K94" t="s">
        <v>74</v>
      </c>
      <c r="L94" t="s">
        <v>74</v>
      </c>
      <c r="M94" t="s">
        <v>78</v>
      </c>
      <c r="N94" t="s">
        <v>1114</v>
      </c>
      <c r="O94" t="s">
        <v>74</v>
      </c>
      <c r="P94" t="s">
        <v>74</v>
      </c>
      <c r="Q94" t="s">
        <v>74</v>
      </c>
      <c r="R94" t="s">
        <v>74</v>
      </c>
      <c r="S94" t="s">
        <v>74</v>
      </c>
      <c r="T94" t="s">
        <v>74</v>
      </c>
      <c r="U94" t="s">
        <v>1242</v>
      </c>
      <c r="V94" t="s">
        <v>1243</v>
      </c>
      <c r="W94" t="s">
        <v>1244</v>
      </c>
      <c r="X94" t="s">
        <v>1245</v>
      </c>
      <c r="Y94" t="s">
        <v>1246</v>
      </c>
      <c r="Z94" t="s">
        <v>1247</v>
      </c>
      <c r="AA94" t="s">
        <v>74</v>
      </c>
      <c r="AB94" t="s">
        <v>74</v>
      </c>
      <c r="AC94" t="s">
        <v>74</v>
      </c>
      <c r="AD94" t="s">
        <v>74</v>
      </c>
      <c r="AE94" t="s">
        <v>74</v>
      </c>
      <c r="AF94" t="s">
        <v>74</v>
      </c>
      <c r="AG94">
        <v>105</v>
      </c>
      <c r="AH94">
        <v>15</v>
      </c>
      <c r="AI94">
        <v>15</v>
      </c>
      <c r="AJ94">
        <v>0</v>
      </c>
      <c r="AK94">
        <v>10</v>
      </c>
      <c r="AL94" t="s">
        <v>1230</v>
      </c>
      <c r="AM94" t="s">
        <v>561</v>
      </c>
      <c r="AN94" t="s">
        <v>1231</v>
      </c>
      <c r="AO94" t="s">
        <v>1232</v>
      </c>
      <c r="AP94" t="s">
        <v>1233</v>
      </c>
      <c r="AQ94" t="s">
        <v>74</v>
      </c>
      <c r="AR94" t="s">
        <v>1234</v>
      </c>
      <c r="AS94" t="s">
        <v>1235</v>
      </c>
      <c r="AT94" t="s">
        <v>566</v>
      </c>
      <c r="AU94">
        <v>2003</v>
      </c>
      <c r="AV94">
        <v>20</v>
      </c>
      <c r="AW94" t="s">
        <v>860</v>
      </c>
      <c r="AX94" t="s">
        <v>74</v>
      </c>
      <c r="AY94" t="s">
        <v>74</v>
      </c>
      <c r="AZ94" t="s">
        <v>74</v>
      </c>
      <c r="BA94" t="s">
        <v>74</v>
      </c>
      <c r="BB94">
        <v>153</v>
      </c>
      <c r="BC94">
        <v>174</v>
      </c>
      <c r="BD94" t="s">
        <v>74</v>
      </c>
      <c r="BE94" t="s">
        <v>1248</v>
      </c>
      <c r="BF94" t="str">
        <f>HYPERLINK("http://dx.doi.org/10.1007/s00382-002-0261-9","http://dx.doi.org/10.1007/s00382-002-0261-9")</f>
        <v>http://dx.doi.org/10.1007/s00382-002-0261-9</v>
      </c>
      <c r="BG94" t="s">
        <v>74</v>
      </c>
      <c r="BH94" t="s">
        <v>74</v>
      </c>
      <c r="BI94">
        <v>22</v>
      </c>
      <c r="BJ94" t="s">
        <v>1237</v>
      </c>
      <c r="BK94" t="s">
        <v>569</v>
      </c>
      <c r="BL94" t="s">
        <v>1237</v>
      </c>
      <c r="BM94" t="s">
        <v>1238</v>
      </c>
      <c r="BN94" t="s">
        <v>74</v>
      </c>
      <c r="BO94" t="s">
        <v>74</v>
      </c>
      <c r="BP94" t="s">
        <v>74</v>
      </c>
      <c r="BQ94" t="s">
        <v>74</v>
      </c>
      <c r="BR94" t="s">
        <v>98</v>
      </c>
      <c r="BS94" t="s">
        <v>1249</v>
      </c>
      <c r="BT94" t="str">
        <f>HYPERLINK("https%3A%2F%2Fwww.webofscience.com%2Fwos%2Fwoscc%2Ffull-record%2FWOS:000180835700003","View Full Record in Web of Science")</f>
        <v>View Full Record in Web of Science</v>
      </c>
    </row>
    <row r="95" spans="1:72" x14ac:dyDescent="0.15">
      <c r="A95" t="s">
        <v>552</v>
      </c>
      <c r="B95" t="s">
        <v>1250</v>
      </c>
      <c r="C95" t="s">
        <v>74</v>
      </c>
      <c r="D95" t="s">
        <v>74</v>
      </c>
      <c r="E95" t="s">
        <v>74</v>
      </c>
      <c r="F95" t="s">
        <v>1250</v>
      </c>
      <c r="G95" t="s">
        <v>74</v>
      </c>
      <c r="H95" t="s">
        <v>74</v>
      </c>
      <c r="I95" t="s">
        <v>1251</v>
      </c>
      <c r="J95" t="s">
        <v>1221</v>
      </c>
      <c r="K95" t="s">
        <v>74</v>
      </c>
      <c r="L95" t="s">
        <v>74</v>
      </c>
      <c r="M95" t="s">
        <v>78</v>
      </c>
      <c r="N95" t="s">
        <v>775</v>
      </c>
      <c r="O95" t="s">
        <v>74</v>
      </c>
      <c r="P95" t="s">
        <v>74</v>
      </c>
      <c r="Q95" t="s">
        <v>74</v>
      </c>
      <c r="R95" t="s">
        <v>74</v>
      </c>
      <c r="S95" t="s">
        <v>74</v>
      </c>
      <c r="T95" t="s">
        <v>74</v>
      </c>
      <c r="U95" t="s">
        <v>1252</v>
      </c>
      <c r="V95" t="s">
        <v>1253</v>
      </c>
      <c r="W95" t="s">
        <v>1254</v>
      </c>
      <c r="X95" t="s">
        <v>1255</v>
      </c>
      <c r="Y95" t="s">
        <v>1256</v>
      </c>
      <c r="Z95" t="s">
        <v>74</v>
      </c>
      <c r="AA95" t="s">
        <v>1257</v>
      </c>
      <c r="AB95" t="s">
        <v>1258</v>
      </c>
      <c r="AC95" t="s">
        <v>74</v>
      </c>
      <c r="AD95" t="s">
        <v>74</v>
      </c>
      <c r="AE95" t="s">
        <v>74</v>
      </c>
      <c r="AF95" t="s">
        <v>74</v>
      </c>
      <c r="AG95">
        <v>90</v>
      </c>
      <c r="AH95">
        <v>99</v>
      </c>
      <c r="AI95">
        <v>106</v>
      </c>
      <c r="AJ95">
        <v>0</v>
      </c>
      <c r="AK95">
        <v>22</v>
      </c>
      <c r="AL95" t="s">
        <v>1259</v>
      </c>
      <c r="AM95" t="s">
        <v>561</v>
      </c>
      <c r="AN95" t="s">
        <v>1260</v>
      </c>
      <c r="AO95" t="s">
        <v>1232</v>
      </c>
      <c r="AP95" t="s">
        <v>74</v>
      </c>
      <c r="AQ95" t="s">
        <v>74</v>
      </c>
      <c r="AR95" t="s">
        <v>1234</v>
      </c>
      <c r="AS95" t="s">
        <v>1235</v>
      </c>
      <c r="AT95" t="s">
        <v>566</v>
      </c>
      <c r="AU95">
        <v>2003</v>
      </c>
      <c r="AV95">
        <v>20</v>
      </c>
      <c r="AW95" t="s">
        <v>860</v>
      </c>
      <c r="AX95" t="s">
        <v>74</v>
      </c>
      <c r="AY95" t="s">
        <v>74</v>
      </c>
      <c r="AZ95" t="s">
        <v>74</v>
      </c>
      <c r="BA95" t="s">
        <v>74</v>
      </c>
      <c r="BB95">
        <v>257</v>
      </c>
      <c r="BC95">
        <v>267</v>
      </c>
      <c r="BD95" t="s">
        <v>74</v>
      </c>
      <c r="BE95" t="s">
        <v>1261</v>
      </c>
      <c r="BF95" t="str">
        <f>HYPERLINK("http://dx.doi.org/10.1007/s00382-002-0266-4","http://dx.doi.org/10.1007/s00382-002-0266-4")</f>
        <v>http://dx.doi.org/10.1007/s00382-002-0266-4</v>
      </c>
      <c r="BG95" t="s">
        <v>74</v>
      </c>
      <c r="BH95" t="s">
        <v>74</v>
      </c>
      <c r="BI95">
        <v>11</v>
      </c>
      <c r="BJ95" t="s">
        <v>1237</v>
      </c>
      <c r="BK95" t="s">
        <v>569</v>
      </c>
      <c r="BL95" t="s">
        <v>1237</v>
      </c>
      <c r="BM95" t="s">
        <v>1238</v>
      </c>
      <c r="BN95" t="s">
        <v>74</v>
      </c>
      <c r="BO95" t="s">
        <v>74</v>
      </c>
      <c r="BP95" t="s">
        <v>74</v>
      </c>
      <c r="BQ95" t="s">
        <v>74</v>
      </c>
      <c r="BR95" t="s">
        <v>98</v>
      </c>
      <c r="BS95" t="s">
        <v>1262</v>
      </c>
      <c r="BT95" t="str">
        <f>HYPERLINK("https%3A%2F%2Fwww.webofscience.com%2Fwos%2Fwoscc%2Ffull-record%2FWOS:000180835700010","View Full Record in Web of Science")</f>
        <v>View Full Record in Web of Science</v>
      </c>
    </row>
    <row r="96" spans="1:72" x14ac:dyDescent="0.15">
      <c r="A96" t="s">
        <v>552</v>
      </c>
      <c r="B96" t="s">
        <v>1263</v>
      </c>
      <c r="C96" t="s">
        <v>74</v>
      </c>
      <c r="D96" t="s">
        <v>74</v>
      </c>
      <c r="E96" t="s">
        <v>74</v>
      </c>
      <c r="F96" t="s">
        <v>1263</v>
      </c>
      <c r="G96" t="s">
        <v>74</v>
      </c>
      <c r="H96" t="s">
        <v>74</v>
      </c>
      <c r="I96" t="s">
        <v>1264</v>
      </c>
      <c r="J96" t="s">
        <v>1221</v>
      </c>
      <c r="K96" t="s">
        <v>74</v>
      </c>
      <c r="L96" t="s">
        <v>74</v>
      </c>
      <c r="M96" t="s">
        <v>78</v>
      </c>
      <c r="N96" t="s">
        <v>1114</v>
      </c>
      <c r="O96" t="s">
        <v>74</v>
      </c>
      <c r="P96" t="s">
        <v>74</v>
      </c>
      <c r="Q96" t="s">
        <v>74</v>
      </c>
      <c r="R96" t="s">
        <v>74</v>
      </c>
      <c r="S96" t="s">
        <v>74</v>
      </c>
      <c r="T96" t="s">
        <v>74</v>
      </c>
      <c r="U96" t="s">
        <v>1265</v>
      </c>
      <c r="V96" t="s">
        <v>1266</v>
      </c>
      <c r="W96" t="s">
        <v>1267</v>
      </c>
      <c r="X96" t="s">
        <v>1268</v>
      </c>
      <c r="Y96" t="s">
        <v>1269</v>
      </c>
      <c r="Z96" t="s">
        <v>1270</v>
      </c>
      <c r="AA96" t="s">
        <v>1271</v>
      </c>
      <c r="AB96" t="s">
        <v>1272</v>
      </c>
      <c r="AC96" t="s">
        <v>74</v>
      </c>
      <c r="AD96" t="s">
        <v>74</v>
      </c>
      <c r="AE96" t="s">
        <v>74</v>
      </c>
      <c r="AF96" t="s">
        <v>74</v>
      </c>
      <c r="AG96">
        <v>101</v>
      </c>
      <c r="AH96">
        <v>99</v>
      </c>
      <c r="AI96">
        <v>106</v>
      </c>
      <c r="AJ96">
        <v>1</v>
      </c>
      <c r="AK96">
        <v>37</v>
      </c>
      <c r="AL96" t="s">
        <v>1230</v>
      </c>
      <c r="AM96" t="s">
        <v>561</v>
      </c>
      <c r="AN96" t="s">
        <v>1231</v>
      </c>
      <c r="AO96" t="s">
        <v>1232</v>
      </c>
      <c r="AP96" t="s">
        <v>1233</v>
      </c>
      <c r="AQ96" t="s">
        <v>74</v>
      </c>
      <c r="AR96" t="s">
        <v>1234</v>
      </c>
      <c r="AS96" t="s">
        <v>1235</v>
      </c>
      <c r="AT96" t="s">
        <v>566</v>
      </c>
      <c r="AU96">
        <v>2003</v>
      </c>
      <c r="AV96">
        <v>20</v>
      </c>
      <c r="AW96" t="s">
        <v>860</v>
      </c>
      <c r="AX96" t="s">
        <v>74</v>
      </c>
      <c r="AY96" t="s">
        <v>74</v>
      </c>
      <c r="AZ96" t="s">
        <v>74</v>
      </c>
      <c r="BA96" t="s">
        <v>74</v>
      </c>
      <c r="BB96">
        <v>281</v>
      </c>
      <c r="BC96">
        <v>299</v>
      </c>
      <c r="BD96" t="s">
        <v>74</v>
      </c>
      <c r="BE96" t="s">
        <v>1273</v>
      </c>
      <c r="BF96" t="str">
        <f>HYPERLINK("http://dx.doi.org/10.1007/s00382-002-0270-8","http://dx.doi.org/10.1007/s00382-002-0270-8")</f>
        <v>http://dx.doi.org/10.1007/s00382-002-0270-8</v>
      </c>
      <c r="BG96" t="s">
        <v>74</v>
      </c>
      <c r="BH96" t="s">
        <v>74</v>
      </c>
      <c r="BI96">
        <v>19</v>
      </c>
      <c r="BJ96" t="s">
        <v>1237</v>
      </c>
      <c r="BK96" t="s">
        <v>569</v>
      </c>
      <c r="BL96" t="s">
        <v>1237</v>
      </c>
      <c r="BM96" t="s">
        <v>1238</v>
      </c>
      <c r="BN96" t="s">
        <v>74</v>
      </c>
      <c r="BO96" t="s">
        <v>794</v>
      </c>
      <c r="BP96" t="s">
        <v>74</v>
      </c>
      <c r="BQ96" t="s">
        <v>74</v>
      </c>
      <c r="BR96" t="s">
        <v>98</v>
      </c>
      <c r="BS96" t="s">
        <v>1274</v>
      </c>
      <c r="BT96" t="str">
        <f>HYPERLINK("https%3A%2F%2Fwww.webofscience.com%2Fwos%2Fwoscc%2Ffull-record%2FWOS:000180835700012","View Full Record in Web of Science")</f>
        <v>View Full Record in Web of Science</v>
      </c>
    </row>
    <row r="97" spans="1:72" x14ac:dyDescent="0.15">
      <c r="A97" t="s">
        <v>552</v>
      </c>
      <c r="B97" t="s">
        <v>1275</v>
      </c>
      <c r="C97" t="s">
        <v>74</v>
      </c>
      <c r="D97" t="s">
        <v>74</v>
      </c>
      <c r="E97" t="s">
        <v>74</v>
      </c>
      <c r="F97" t="s">
        <v>1275</v>
      </c>
      <c r="G97" t="s">
        <v>74</v>
      </c>
      <c r="H97" t="s">
        <v>74</v>
      </c>
      <c r="I97" t="s">
        <v>1276</v>
      </c>
      <c r="J97" t="s">
        <v>1277</v>
      </c>
      <c r="K97" t="s">
        <v>74</v>
      </c>
      <c r="L97" t="s">
        <v>74</v>
      </c>
      <c r="M97" t="s">
        <v>78</v>
      </c>
      <c r="N97" t="s">
        <v>775</v>
      </c>
      <c r="O97" t="s">
        <v>74</v>
      </c>
      <c r="P97" t="s">
        <v>74</v>
      </c>
      <c r="Q97" t="s">
        <v>74</v>
      </c>
      <c r="R97" t="s">
        <v>74</v>
      </c>
      <c r="S97" t="s">
        <v>74</v>
      </c>
      <c r="T97" t="s">
        <v>1278</v>
      </c>
      <c r="U97" t="s">
        <v>1279</v>
      </c>
      <c r="V97" t="s">
        <v>1280</v>
      </c>
      <c r="W97" t="s">
        <v>1281</v>
      </c>
      <c r="X97" t="s">
        <v>1282</v>
      </c>
      <c r="Y97" t="s">
        <v>1283</v>
      </c>
      <c r="Z97" t="s">
        <v>1284</v>
      </c>
      <c r="AA97" t="s">
        <v>1285</v>
      </c>
      <c r="AB97" t="s">
        <v>1286</v>
      </c>
      <c r="AC97" t="s">
        <v>74</v>
      </c>
      <c r="AD97" t="s">
        <v>74</v>
      </c>
      <c r="AE97" t="s">
        <v>74</v>
      </c>
      <c r="AF97" t="s">
        <v>74</v>
      </c>
      <c r="AG97">
        <v>50</v>
      </c>
      <c r="AH97">
        <v>23</v>
      </c>
      <c r="AI97">
        <v>24</v>
      </c>
      <c r="AJ97">
        <v>0</v>
      </c>
      <c r="AK97">
        <v>10</v>
      </c>
      <c r="AL97" t="s">
        <v>1287</v>
      </c>
      <c r="AM97" t="s">
        <v>561</v>
      </c>
      <c r="AN97" t="s">
        <v>1288</v>
      </c>
      <c r="AO97" t="s">
        <v>1289</v>
      </c>
      <c r="AP97" t="s">
        <v>1290</v>
      </c>
      <c r="AQ97" t="s">
        <v>74</v>
      </c>
      <c r="AR97" t="s">
        <v>1291</v>
      </c>
      <c r="AS97" t="s">
        <v>1292</v>
      </c>
      <c r="AT97" t="s">
        <v>566</v>
      </c>
      <c r="AU97">
        <v>2003</v>
      </c>
      <c r="AV97">
        <v>134</v>
      </c>
      <c r="AW97">
        <v>1</v>
      </c>
      <c r="AX97" t="s">
        <v>74</v>
      </c>
      <c r="AY97" t="s">
        <v>74</v>
      </c>
      <c r="AZ97" t="s">
        <v>74</v>
      </c>
      <c r="BA97" t="s">
        <v>74</v>
      </c>
      <c r="BB97">
        <v>159</v>
      </c>
      <c r="BC97">
        <v>167</v>
      </c>
      <c r="BD97" t="s">
        <v>1293</v>
      </c>
      <c r="BE97" t="s">
        <v>74</v>
      </c>
      <c r="BF97" t="s">
        <v>74</v>
      </c>
      <c r="BG97" t="s">
        <v>74</v>
      </c>
      <c r="BH97" t="s">
        <v>74</v>
      </c>
      <c r="BI97">
        <v>9</v>
      </c>
      <c r="BJ97" t="s">
        <v>1294</v>
      </c>
      <c r="BK97" t="s">
        <v>569</v>
      </c>
      <c r="BL97" t="s">
        <v>1294</v>
      </c>
      <c r="BM97" t="s">
        <v>1295</v>
      </c>
      <c r="BN97" t="s">
        <v>74</v>
      </c>
      <c r="BO97" t="s">
        <v>74</v>
      </c>
      <c r="BP97" t="s">
        <v>74</v>
      </c>
      <c r="BQ97" t="s">
        <v>74</v>
      </c>
      <c r="BR97" t="s">
        <v>98</v>
      </c>
      <c r="BS97" t="s">
        <v>1296</v>
      </c>
      <c r="BT97" t="str">
        <f>HYPERLINK("https%3A%2F%2Fwww.webofscience.com%2Fwos%2Fwoscc%2Ffull-record%2FWOS:000181436600018","View Full Record in Web of Science")</f>
        <v>View Full Record in Web of Science</v>
      </c>
    </row>
    <row r="98" spans="1:72" x14ac:dyDescent="0.15">
      <c r="A98" t="s">
        <v>552</v>
      </c>
      <c r="B98" t="s">
        <v>1297</v>
      </c>
      <c r="C98" t="s">
        <v>74</v>
      </c>
      <c r="D98" t="s">
        <v>74</v>
      </c>
      <c r="E98" t="s">
        <v>74</v>
      </c>
      <c r="F98" t="s">
        <v>1297</v>
      </c>
      <c r="G98" t="s">
        <v>74</v>
      </c>
      <c r="H98" t="s">
        <v>74</v>
      </c>
      <c r="I98" t="s">
        <v>1298</v>
      </c>
      <c r="J98" t="s">
        <v>1299</v>
      </c>
      <c r="K98" t="s">
        <v>74</v>
      </c>
      <c r="L98" t="s">
        <v>74</v>
      </c>
      <c r="M98" t="s">
        <v>78</v>
      </c>
      <c r="N98" t="s">
        <v>775</v>
      </c>
      <c r="O98" t="s">
        <v>74</v>
      </c>
      <c r="P98" t="s">
        <v>74</v>
      </c>
      <c r="Q98" t="s">
        <v>74</v>
      </c>
      <c r="R98" t="s">
        <v>74</v>
      </c>
      <c r="S98" t="s">
        <v>74</v>
      </c>
      <c r="T98" t="s">
        <v>1300</v>
      </c>
      <c r="U98" t="s">
        <v>1301</v>
      </c>
      <c r="V98" t="s">
        <v>1302</v>
      </c>
      <c r="W98" t="s">
        <v>1303</v>
      </c>
      <c r="X98" t="s">
        <v>1304</v>
      </c>
      <c r="Y98" t="s">
        <v>1305</v>
      </c>
      <c r="Z98" t="s">
        <v>1306</v>
      </c>
      <c r="AA98" t="s">
        <v>1307</v>
      </c>
      <c r="AB98" t="s">
        <v>1308</v>
      </c>
      <c r="AC98" t="s">
        <v>74</v>
      </c>
      <c r="AD98" t="s">
        <v>74</v>
      </c>
      <c r="AE98" t="s">
        <v>74</v>
      </c>
      <c r="AF98" t="s">
        <v>74</v>
      </c>
      <c r="AG98">
        <v>36</v>
      </c>
      <c r="AH98">
        <v>177</v>
      </c>
      <c r="AI98">
        <v>199</v>
      </c>
      <c r="AJ98">
        <v>1</v>
      </c>
      <c r="AK98">
        <v>32</v>
      </c>
      <c r="AL98" t="s">
        <v>1287</v>
      </c>
      <c r="AM98" t="s">
        <v>561</v>
      </c>
      <c r="AN98" t="s">
        <v>1288</v>
      </c>
      <c r="AO98" t="s">
        <v>1309</v>
      </c>
      <c r="AP98" t="s">
        <v>1310</v>
      </c>
      <c r="AQ98" t="s">
        <v>74</v>
      </c>
      <c r="AR98" t="s">
        <v>1311</v>
      </c>
      <c r="AS98" t="s">
        <v>1312</v>
      </c>
      <c r="AT98" t="s">
        <v>566</v>
      </c>
      <c r="AU98">
        <v>2003</v>
      </c>
      <c r="AV98">
        <v>134</v>
      </c>
      <c r="AW98">
        <v>1</v>
      </c>
      <c r="AX98" t="s">
        <v>74</v>
      </c>
      <c r="AY98" t="s">
        <v>74</v>
      </c>
      <c r="AZ98" t="s">
        <v>74</v>
      </c>
      <c r="BA98" t="s">
        <v>74</v>
      </c>
      <c r="BB98">
        <v>79</v>
      </c>
      <c r="BC98">
        <v>90</v>
      </c>
      <c r="BD98" t="s">
        <v>1313</v>
      </c>
      <c r="BE98" t="s">
        <v>1314</v>
      </c>
      <c r="BF98" t="str">
        <f>HYPERLINK("http://dx.doi.org/10.1016/S1532-0456(02)00212-0","http://dx.doi.org/10.1016/S1532-0456(02)00212-0")</f>
        <v>http://dx.doi.org/10.1016/S1532-0456(02)00212-0</v>
      </c>
      <c r="BG98" t="s">
        <v>74</v>
      </c>
      <c r="BH98" t="s">
        <v>74</v>
      </c>
      <c r="BI98">
        <v>12</v>
      </c>
      <c r="BJ98" t="s">
        <v>1315</v>
      </c>
      <c r="BK98" t="s">
        <v>569</v>
      </c>
      <c r="BL98" t="s">
        <v>1315</v>
      </c>
      <c r="BM98" t="s">
        <v>1316</v>
      </c>
      <c r="BN98">
        <v>12524020</v>
      </c>
      <c r="BO98" t="s">
        <v>74</v>
      </c>
      <c r="BP98" t="s">
        <v>74</v>
      </c>
      <c r="BQ98" t="s">
        <v>74</v>
      </c>
      <c r="BR98" t="s">
        <v>98</v>
      </c>
      <c r="BS98" t="s">
        <v>1317</v>
      </c>
      <c r="BT98" t="str">
        <f>HYPERLINK("https%3A%2F%2Fwww.webofscience.com%2Fwos%2Fwoscc%2Ffull-record%2FWOS:000180497900007","View Full Record in Web of Science")</f>
        <v>View Full Record in Web of Science</v>
      </c>
    </row>
    <row r="99" spans="1:72" x14ac:dyDescent="0.15">
      <c r="A99" t="s">
        <v>903</v>
      </c>
      <c r="B99" t="s">
        <v>1318</v>
      </c>
      <c r="C99" t="s">
        <v>74</v>
      </c>
      <c r="D99" t="s">
        <v>1319</v>
      </c>
      <c r="E99" t="s">
        <v>74</v>
      </c>
      <c r="F99" t="s">
        <v>1318</v>
      </c>
      <c r="G99" t="s">
        <v>74</v>
      </c>
      <c r="H99" t="s">
        <v>74</v>
      </c>
      <c r="I99" t="s">
        <v>1320</v>
      </c>
      <c r="J99" t="s">
        <v>1321</v>
      </c>
      <c r="K99" t="s">
        <v>1322</v>
      </c>
      <c r="L99" t="s">
        <v>74</v>
      </c>
      <c r="M99" t="s">
        <v>78</v>
      </c>
      <c r="N99" t="s">
        <v>576</v>
      </c>
      <c r="O99" t="s">
        <v>1323</v>
      </c>
      <c r="P99" t="s">
        <v>1324</v>
      </c>
      <c r="Q99" t="s">
        <v>1325</v>
      </c>
      <c r="R99" t="s">
        <v>74</v>
      </c>
      <c r="S99" t="s">
        <v>74</v>
      </c>
      <c r="T99" t="s">
        <v>74</v>
      </c>
      <c r="U99" t="s">
        <v>74</v>
      </c>
      <c r="V99" t="s">
        <v>1326</v>
      </c>
      <c r="W99" t="s">
        <v>1327</v>
      </c>
      <c r="X99" t="s">
        <v>1328</v>
      </c>
      <c r="Y99" t="s">
        <v>1329</v>
      </c>
      <c r="Z99" t="s">
        <v>74</v>
      </c>
      <c r="AA99" t="s">
        <v>74</v>
      </c>
      <c r="AB99" t="s">
        <v>74</v>
      </c>
      <c r="AC99" t="s">
        <v>74</v>
      </c>
      <c r="AD99" t="s">
        <v>74</v>
      </c>
      <c r="AE99" t="s">
        <v>74</v>
      </c>
      <c r="AF99" t="s">
        <v>74</v>
      </c>
      <c r="AG99">
        <v>7</v>
      </c>
      <c r="AH99">
        <v>2</v>
      </c>
      <c r="AI99">
        <v>2</v>
      </c>
      <c r="AJ99">
        <v>0</v>
      </c>
      <c r="AK99">
        <v>0</v>
      </c>
      <c r="AL99" t="s">
        <v>922</v>
      </c>
      <c r="AM99" t="s">
        <v>923</v>
      </c>
      <c r="AN99" t="s">
        <v>924</v>
      </c>
      <c r="AO99" t="s">
        <v>1330</v>
      </c>
      <c r="AP99" t="s">
        <v>74</v>
      </c>
      <c r="AQ99" t="s">
        <v>1331</v>
      </c>
      <c r="AR99" t="s">
        <v>1332</v>
      </c>
      <c r="AS99" t="s">
        <v>74</v>
      </c>
      <c r="AT99" t="s">
        <v>74</v>
      </c>
      <c r="AU99">
        <v>2003</v>
      </c>
      <c r="AV99">
        <v>2658</v>
      </c>
      <c r="AW99" t="s">
        <v>74</v>
      </c>
      <c r="AX99" t="s">
        <v>74</v>
      </c>
      <c r="AY99" t="s">
        <v>74</v>
      </c>
      <c r="AZ99" t="s">
        <v>74</v>
      </c>
      <c r="BA99" t="s">
        <v>74</v>
      </c>
      <c r="BB99">
        <v>179</v>
      </c>
      <c r="BC99">
        <v>187</v>
      </c>
      <c r="BD99" t="s">
        <v>74</v>
      </c>
      <c r="BE99" t="s">
        <v>74</v>
      </c>
      <c r="BF99" t="s">
        <v>74</v>
      </c>
      <c r="BG99" t="s">
        <v>74</v>
      </c>
      <c r="BH99" t="s">
        <v>74</v>
      </c>
      <c r="BI99">
        <v>9</v>
      </c>
      <c r="BJ99" t="s">
        <v>1333</v>
      </c>
      <c r="BK99" t="s">
        <v>589</v>
      </c>
      <c r="BL99" t="s">
        <v>1334</v>
      </c>
      <c r="BM99" t="s">
        <v>1335</v>
      </c>
      <c r="BN99" t="s">
        <v>74</v>
      </c>
      <c r="BO99" t="s">
        <v>74</v>
      </c>
      <c r="BP99" t="s">
        <v>74</v>
      </c>
      <c r="BQ99" t="s">
        <v>74</v>
      </c>
      <c r="BR99" t="s">
        <v>98</v>
      </c>
      <c r="BS99" t="s">
        <v>1336</v>
      </c>
      <c r="BT99" t="str">
        <f>HYPERLINK("https%3A%2F%2Fwww.webofscience.com%2Fwos%2Fwoscc%2Ffull-record%2FWOS:000184831800020","View Full Record in Web of Science")</f>
        <v>View Full Record in Web of Science</v>
      </c>
    </row>
    <row r="100" spans="1:72" x14ac:dyDescent="0.15">
      <c r="A100" t="s">
        <v>552</v>
      </c>
      <c r="B100" t="s">
        <v>1337</v>
      </c>
      <c r="C100" t="s">
        <v>74</v>
      </c>
      <c r="D100" t="s">
        <v>74</v>
      </c>
      <c r="E100" t="s">
        <v>74</v>
      </c>
      <c r="F100" t="s">
        <v>1337</v>
      </c>
      <c r="G100" t="s">
        <v>74</v>
      </c>
      <c r="H100" t="s">
        <v>74</v>
      </c>
      <c r="I100" t="s">
        <v>1338</v>
      </c>
      <c r="J100" t="s">
        <v>1339</v>
      </c>
      <c r="K100" t="s">
        <v>74</v>
      </c>
      <c r="L100" t="s">
        <v>74</v>
      </c>
      <c r="M100" t="s">
        <v>78</v>
      </c>
      <c r="N100" t="s">
        <v>775</v>
      </c>
      <c r="O100" t="s">
        <v>74</v>
      </c>
      <c r="P100" t="s">
        <v>74</v>
      </c>
      <c r="Q100" t="s">
        <v>74</v>
      </c>
      <c r="R100" t="s">
        <v>74</v>
      </c>
      <c r="S100" t="s">
        <v>74</v>
      </c>
      <c r="T100" t="s">
        <v>74</v>
      </c>
      <c r="U100" t="s">
        <v>1340</v>
      </c>
      <c r="V100" t="s">
        <v>1341</v>
      </c>
      <c r="W100" t="s">
        <v>1342</v>
      </c>
      <c r="X100" t="s">
        <v>74</v>
      </c>
      <c r="Y100" t="s">
        <v>1343</v>
      </c>
      <c r="Z100" t="s">
        <v>74</v>
      </c>
      <c r="AA100" t="s">
        <v>74</v>
      </c>
      <c r="AB100" t="s">
        <v>74</v>
      </c>
      <c r="AC100" t="s">
        <v>74</v>
      </c>
      <c r="AD100" t="s">
        <v>74</v>
      </c>
      <c r="AE100" t="s">
        <v>74</v>
      </c>
      <c r="AF100" t="s">
        <v>74</v>
      </c>
      <c r="AG100">
        <v>38</v>
      </c>
      <c r="AH100">
        <v>1</v>
      </c>
      <c r="AI100">
        <v>2</v>
      </c>
      <c r="AJ100">
        <v>0</v>
      </c>
      <c r="AK100">
        <v>2</v>
      </c>
      <c r="AL100" t="s">
        <v>1344</v>
      </c>
      <c r="AM100" t="s">
        <v>91</v>
      </c>
      <c r="AN100" t="s">
        <v>1345</v>
      </c>
      <c r="AO100" t="s">
        <v>1346</v>
      </c>
      <c r="AP100" t="s">
        <v>74</v>
      </c>
      <c r="AQ100" t="s">
        <v>74</v>
      </c>
      <c r="AR100" t="s">
        <v>1339</v>
      </c>
      <c r="AS100" t="s">
        <v>1347</v>
      </c>
      <c r="AT100" t="s">
        <v>566</v>
      </c>
      <c r="AU100">
        <v>2003</v>
      </c>
      <c r="AV100">
        <v>76</v>
      </c>
      <c r="AW100" t="s">
        <v>74</v>
      </c>
      <c r="AX100">
        <v>1</v>
      </c>
      <c r="AY100" t="s">
        <v>74</v>
      </c>
      <c r="AZ100" t="s">
        <v>74</v>
      </c>
      <c r="BA100" t="s">
        <v>74</v>
      </c>
      <c r="BB100">
        <v>49</v>
      </c>
      <c r="BC100">
        <v>63</v>
      </c>
      <c r="BD100" t="s">
        <v>74</v>
      </c>
      <c r="BE100" t="s">
        <v>1348</v>
      </c>
      <c r="BF100" t="str">
        <f>HYPERLINK("http://dx.doi.org/10.1163/156854003321672827","http://dx.doi.org/10.1163/156854003321672827")</f>
        <v>http://dx.doi.org/10.1163/156854003321672827</v>
      </c>
      <c r="BG100" t="s">
        <v>74</v>
      </c>
      <c r="BH100" t="s">
        <v>74</v>
      </c>
      <c r="BI100">
        <v>15</v>
      </c>
      <c r="BJ100" t="s">
        <v>989</v>
      </c>
      <c r="BK100" t="s">
        <v>569</v>
      </c>
      <c r="BL100" t="s">
        <v>989</v>
      </c>
      <c r="BM100" t="s">
        <v>1349</v>
      </c>
      <c r="BN100" t="s">
        <v>74</v>
      </c>
      <c r="BO100" t="s">
        <v>74</v>
      </c>
      <c r="BP100" t="s">
        <v>74</v>
      </c>
      <c r="BQ100" t="s">
        <v>74</v>
      </c>
      <c r="BR100" t="s">
        <v>98</v>
      </c>
      <c r="BS100" t="s">
        <v>1350</v>
      </c>
      <c r="BT100" t="str">
        <f>HYPERLINK("https%3A%2F%2Fwww.webofscience.com%2Fwos%2Fwoscc%2Ffull-record%2FWOS:000184003200005","View Full Record in Web of Science")</f>
        <v>View Full Record in Web of Science</v>
      </c>
    </row>
    <row r="101" spans="1:72" x14ac:dyDescent="0.15">
      <c r="A101" t="s">
        <v>552</v>
      </c>
      <c r="B101" t="s">
        <v>1351</v>
      </c>
      <c r="C101" t="s">
        <v>74</v>
      </c>
      <c r="D101" t="s">
        <v>74</v>
      </c>
      <c r="E101" t="s">
        <v>74</v>
      </c>
      <c r="F101" t="s">
        <v>1351</v>
      </c>
      <c r="G101" t="s">
        <v>74</v>
      </c>
      <c r="H101" t="s">
        <v>74</v>
      </c>
      <c r="I101" t="s">
        <v>1352</v>
      </c>
      <c r="J101" t="s">
        <v>1353</v>
      </c>
      <c r="K101" t="s">
        <v>74</v>
      </c>
      <c r="L101" t="s">
        <v>74</v>
      </c>
      <c r="M101" t="s">
        <v>78</v>
      </c>
      <c r="N101" t="s">
        <v>576</v>
      </c>
      <c r="O101" t="s">
        <v>1354</v>
      </c>
      <c r="P101" t="s">
        <v>1355</v>
      </c>
      <c r="Q101" t="s">
        <v>1356</v>
      </c>
      <c r="R101" t="s">
        <v>74</v>
      </c>
      <c r="S101" t="s">
        <v>74</v>
      </c>
      <c r="T101" t="s">
        <v>1357</v>
      </c>
      <c r="U101" t="s">
        <v>1358</v>
      </c>
      <c r="V101" t="s">
        <v>1359</v>
      </c>
      <c r="W101" t="s">
        <v>1360</v>
      </c>
      <c r="X101" t="s">
        <v>1361</v>
      </c>
      <c r="Y101" t="s">
        <v>1362</v>
      </c>
      <c r="Z101" t="s">
        <v>1363</v>
      </c>
      <c r="AA101" t="s">
        <v>1364</v>
      </c>
      <c r="AB101" t="s">
        <v>1365</v>
      </c>
      <c r="AC101" t="s">
        <v>74</v>
      </c>
      <c r="AD101" t="s">
        <v>74</v>
      </c>
      <c r="AE101" t="s">
        <v>74</v>
      </c>
      <c r="AF101" t="s">
        <v>74</v>
      </c>
      <c r="AG101">
        <v>13</v>
      </c>
      <c r="AH101">
        <v>0</v>
      </c>
      <c r="AI101">
        <v>0</v>
      </c>
      <c r="AJ101">
        <v>0</v>
      </c>
      <c r="AK101">
        <v>0</v>
      </c>
      <c r="AL101" t="s">
        <v>1366</v>
      </c>
      <c r="AM101" t="s">
        <v>1367</v>
      </c>
      <c r="AN101" t="s">
        <v>1368</v>
      </c>
      <c r="AO101" t="s">
        <v>1369</v>
      </c>
      <c r="AP101" t="s">
        <v>74</v>
      </c>
      <c r="AQ101" t="s">
        <v>74</v>
      </c>
      <c r="AR101" t="s">
        <v>1370</v>
      </c>
      <c r="AS101" t="s">
        <v>1371</v>
      </c>
      <c r="AT101" t="s">
        <v>74</v>
      </c>
      <c r="AU101">
        <v>2003</v>
      </c>
      <c r="AV101">
        <v>53</v>
      </c>
      <c r="AW101" t="s">
        <v>74</v>
      </c>
      <c r="AX101" t="s">
        <v>74</v>
      </c>
      <c r="AY101" t="s">
        <v>1372</v>
      </c>
      <c r="AZ101" t="s">
        <v>74</v>
      </c>
      <c r="BA101" t="s">
        <v>74</v>
      </c>
      <c r="BB101" t="s">
        <v>1373</v>
      </c>
      <c r="BC101" t="s">
        <v>1374</v>
      </c>
      <c r="BD101" t="s">
        <v>74</v>
      </c>
      <c r="BE101" t="s">
        <v>74</v>
      </c>
      <c r="BF101" t="s">
        <v>74</v>
      </c>
      <c r="BG101" t="s">
        <v>74</v>
      </c>
      <c r="BH101" t="s">
        <v>74</v>
      </c>
      <c r="BI101">
        <v>9</v>
      </c>
      <c r="BJ101" t="s">
        <v>1375</v>
      </c>
      <c r="BK101" t="s">
        <v>605</v>
      </c>
      <c r="BL101" t="s">
        <v>1376</v>
      </c>
      <c r="BM101" t="s">
        <v>1377</v>
      </c>
      <c r="BN101" t="s">
        <v>74</v>
      </c>
      <c r="BO101" t="s">
        <v>74</v>
      </c>
      <c r="BP101" t="s">
        <v>74</v>
      </c>
      <c r="BQ101" t="s">
        <v>74</v>
      </c>
      <c r="BR101" t="s">
        <v>98</v>
      </c>
      <c r="BS101" t="s">
        <v>1378</v>
      </c>
      <c r="BT101" t="str">
        <f>HYPERLINK("https%3A%2F%2Fwww.webofscience.com%2Fwos%2Fwoscc%2Ffull-record%2FWOS:000189255400048","View Full Record in Web of Science")</f>
        <v>View Full Record in Web of Science</v>
      </c>
    </row>
    <row r="102" spans="1:72" x14ac:dyDescent="0.15">
      <c r="A102" t="s">
        <v>552</v>
      </c>
      <c r="B102" t="s">
        <v>1379</v>
      </c>
      <c r="C102" t="s">
        <v>74</v>
      </c>
      <c r="D102" t="s">
        <v>74</v>
      </c>
      <c r="E102" t="s">
        <v>74</v>
      </c>
      <c r="F102" t="s">
        <v>1379</v>
      </c>
      <c r="G102" t="s">
        <v>74</v>
      </c>
      <c r="H102" t="s">
        <v>74</v>
      </c>
      <c r="I102" t="s">
        <v>1380</v>
      </c>
      <c r="J102" t="s">
        <v>1381</v>
      </c>
      <c r="K102" t="s">
        <v>74</v>
      </c>
      <c r="L102" t="s">
        <v>74</v>
      </c>
      <c r="M102" t="s">
        <v>78</v>
      </c>
      <c r="N102" t="s">
        <v>775</v>
      </c>
      <c r="O102" t="s">
        <v>74</v>
      </c>
      <c r="P102" t="s">
        <v>74</v>
      </c>
      <c r="Q102" t="s">
        <v>74</v>
      </c>
      <c r="R102" t="s">
        <v>74</v>
      </c>
      <c r="S102" t="s">
        <v>74</v>
      </c>
      <c r="T102" t="s">
        <v>1382</v>
      </c>
      <c r="U102" t="s">
        <v>1383</v>
      </c>
      <c r="V102" t="s">
        <v>1384</v>
      </c>
      <c r="W102" t="s">
        <v>1385</v>
      </c>
      <c r="X102" t="s">
        <v>1386</v>
      </c>
      <c r="Y102" t="s">
        <v>1387</v>
      </c>
      <c r="Z102" t="s">
        <v>1388</v>
      </c>
      <c r="AA102" t="s">
        <v>74</v>
      </c>
      <c r="AB102" t="s">
        <v>74</v>
      </c>
      <c r="AC102" t="s">
        <v>74</v>
      </c>
      <c r="AD102" t="s">
        <v>74</v>
      </c>
      <c r="AE102" t="s">
        <v>74</v>
      </c>
      <c r="AF102" t="s">
        <v>74</v>
      </c>
      <c r="AG102">
        <v>58</v>
      </c>
      <c r="AH102">
        <v>51</v>
      </c>
      <c r="AI102">
        <v>61</v>
      </c>
      <c r="AJ102">
        <v>0</v>
      </c>
      <c r="AK102">
        <v>22</v>
      </c>
      <c r="AL102" t="s">
        <v>806</v>
      </c>
      <c r="AM102" t="s">
        <v>807</v>
      </c>
      <c r="AN102" t="s">
        <v>808</v>
      </c>
      <c r="AO102" t="s">
        <v>1389</v>
      </c>
      <c r="AP102" t="s">
        <v>1390</v>
      </c>
      <c r="AQ102" t="s">
        <v>74</v>
      </c>
      <c r="AR102" t="s">
        <v>1391</v>
      </c>
      <c r="AS102" t="s">
        <v>1392</v>
      </c>
      <c r="AT102" t="s">
        <v>566</v>
      </c>
      <c r="AU102">
        <v>2003</v>
      </c>
      <c r="AV102">
        <v>50</v>
      </c>
      <c r="AW102">
        <v>1</v>
      </c>
      <c r="AX102" t="s">
        <v>74</v>
      </c>
      <c r="AY102" t="s">
        <v>74</v>
      </c>
      <c r="AZ102" t="s">
        <v>74</v>
      </c>
      <c r="BA102" t="s">
        <v>74</v>
      </c>
      <c r="BB102">
        <v>131</v>
      </c>
      <c r="BC102">
        <v>150</v>
      </c>
      <c r="BD102" t="s">
        <v>74</v>
      </c>
      <c r="BE102" t="s">
        <v>1393</v>
      </c>
      <c r="BF102" t="str">
        <f>HYPERLINK("http://dx.doi.org/10.1016/S0967-0637(02)00146-2","http://dx.doi.org/10.1016/S0967-0637(02)00146-2")</f>
        <v>http://dx.doi.org/10.1016/S0967-0637(02)00146-2</v>
      </c>
      <c r="BG102" t="s">
        <v>74</v>
      </c>
      <c r="BH102" t="s">
        <v>74</v>
      </c>
      <c r="BI102">
        <v>20</v>
      </c>
      <c r="BJ102" t="s">
        <v>1394</v>
      </c>
      <c r="BK102" t="s">
        <v>569</v>
      </c>
      <c r="BL102" t="s">
        <v>1394</v>
      </c>
      <c r="BM102" t="s">
        <v>1395</v>
      </c>
      <c r="BN102" t="s">
        <v>74</v>
      </c>
      <c r="BO102" t="s">
        <v>74</v>
      </c>
      <c r="BP102" t="s">
        <v>74</v>
      </c>
      <c r="BQ102" t="s">
        <v>74</v>
      </c>
      <c r="BR102" t="s">
        <v>98</v>
      </c>
      <c r="BS102" t="s">
        <v>1396</v>
      </c>
      <c r="BT102" t="str">
        <f>HYPERLINK("https%3A%2F%2Fwww.webofscience.com%2Fwos%2Fwoscc%2Ffull-record%2FWOS:000188457900007","View Full Record in Web of Science")</f>
        <v>View Full Record in Web of Science</v>
      </c>
    </row>
    <row r="103" spans="1:72" x14ac:dyDescent="0.15">
      <c r="A103" t="s">
        <v>552</v>
      </c>
      <c r="B103" t="s">
        <v>1397</v>
      </c>
      <c r="C103" t="s">
        <v>74</v>
      </c>
      <c r="D103" t="s">
        <v>74</v>
      </c>
      <c r="E103" t="s">
        <v>74</v>
      </c>
      <c r="F103" t="s">
        <v>1397</v>
      </c>
      <c r="G103" t="s">
        <v>74</v>
      </c>
      <c r="H103" t="s">
        <v>74</v>
      </c>
      <c r="I103" t="s">
        <v>1398</v>
      </c>
      <c r="J103" t="s">
        <v>1399</v>
      </c>
      <c r="K103" t="s">
        <v>74</v>
      </c>
      <c r="L103" t="s">
        <v>74</v>
      </c>
      <c r="M103" t="s">
        <v>78</v>
      </c>
      <c r="N103" t="s">
        <v>775</v>
      </c>
      <c r="O103" t="s">
        <v>74</v>
      </c>
      <c r="P103" t="s">
        <v>74</v>
      </c>
      <c r="Q103" t="s">
        <v>74</v>
      </c>
      <c r="R103" t="s">
        <v>74</v>
      </c>
      <c r="S103" t="s">
        <v>74</v>
      </c>
      <c r="T103" t="s">
        <v>74</v>
      </c>
      <c r="U103" t="s">
        <v>1400</v>
      </c>
      <c r="V103" t="s">
        <v>1401</v>
      </c>
      <c r="W103" t="s">
        <v>1402</v>
      </c>
      <c r="X103" t="s">
        <v>1403</v>
      </c>
      <c r="Y103" t="s">
        <v>1404</v>
      </c>
      <c r="Z103" t="s">
        <v>1405</v>
      </c>
      <c r="AA103" t="s">
        <v>1406</v>
      </c>
      <c r="AB103" t="s">
        <v>74</v>
      </c>
      <c r="AC103" t="s">
        <v>74</v>
      </c>
      <c r="AD103" t="s">
        <v>74</v>
      </c>
      <c r="AE103" t="s">
        <v>74</v>
      </c>
      <c r="AF103" t="s">
        <v>74</v>
      </c>
      <c r="AG103">
        <v>53</v>
      </c>
      <c r="AH103">
        <v>19</v>
      </c>
      <c r="AI103">
        <v>21</v>
      </c>
      <c r="AJ103">
        <v>0</v>
      </c>
      <c r="AK103">
        <v>3</v>
      </c>
      <c r="AL103" t="s">
        <v>806</v>
      </c>
      <c r="AM103" t="s">
        <v>807</v>
      </c>
      <c r="AN103" t="s">
        <v>808</v>
      </c>
      <c r="AO103" t="s">
        <v>1407</v>
      </c>
      <c r="AP103" t="s">
        <v>1408</v>
      </c>
      <c r="AQ103" t="s">
        <v>74</v>
      </c>
      <c r="AR103" t="s">
        <v>1409</v>
      </c>
      <c r="AS103" t="s">
        <v>1410</v>
      </c>
      <c r="AT103" t="s">
        <v>74</v>
      </c>
      <c r="AU103">
        <v>2003</v>
      </c>
      <c r="AV103">
        <v>50</v>
      </c>
      <c r="AW103">
        <v>1</v>
      </c>
      <c r="AX103" t="s">
        <v>74</v>
      </c>
      <c r="AY103" t="s">
        <v>74</v>
      </c>
      <c r="AZ103" t="s">
        <v>74</v>
      </c>
      <c r="BA103" t="s">
        <v>74</v>
      </c>
      <c r="BB103">
        <v>197</v>
      </c>
      <c r="BC103">
        <v>228</v>
      </c>
      <c r="BD103" t="s">
        <v>1411</v>
      </c>
      <c r="BE103" t="s">
        <v>1412</v>
      </c>
      <c r="BF103" t="str">
        <f>HYPERLINK("http://dx.doi.org/10.1016/S0967-0645(02)00384-3","http://dx.doi.org/10.1016/S0967-0645(02)00384-3")</f>
        <v>http://dx.doi.org/10.1016/S0967-0645(02)00384-3</v>
      </c>
      <c r="BG103" t="s">
        <v>74</v>
      </c>
      <c r="BH103" t="s">
        <v>74</v>
      </c>
      <c r="BI103">
        <v>32</v>
      </c>
      <c r="BJ103" t="s">
        <v>1394</v>
      </c>
      <c r="BK103" t="s">
        <v>569</v>
      </c>
      <c r="BL103" t="s">
        <v>1394</v>
      </c>
      <c r="BM103" t="s">
        <v>1413</v>
      </c>
      <c r="BN103" t="s">
        <v>74</v>
      </c>
      <c r="BO103" t="s">
        <v>74</v>
      </c>
      <c r="BP103" t="s">
        <v>74</v>
      </c>
      <c r="BQ103" t="s">
        <v>74</v>
      </c>
      <c r="BR103" t="s">
        <v>98</v>
      </c>
      <c r="BS103" t="s">
        <v>1414</v>
      </c>
      <c r="BT103" t="str">
        <f>HYPERLINK("https%3A%2F%2Fwww.webofscience.com%2Fwos%2Fwoscc%2Ffull-record%2FWOS:000180098800009","View Full Record in Web of Science")</f>
        <v>View Full Record in Web of Science</v>
      </c>
    </row>
    <row r="104" spans="1:72" x14ac:dyDescent="0.15">
      <c r="A104" t="s">
        <v>552</v>
      </c>
      <c r="B104" t="s">
        <v>1415</v>
      </c>
      <c r="C104" t="s">
        <v>74</v>
      </c>
      <c r="D104" t="s">
        <v>74</v>
      </c>
      <c r="E104" t="s">
        <v>74</v>
      </c>
      <c r="F104" t="s">
        <v>1415</v>
      </c>
      <c r="G104" t="s">
        <v>74</v>
      </c>
      <c r="H104" t="s">
        <v>74</v>
      </c>
      <c r="I104" t="s">
        <v>1416</v>
      </c>
      <c r="J104" t="s">
        <v>1399</v>
      </c>
      <c r="K104" t="s">
        <v>74</v>
      </c>
      <c r="L104" t="s">
        <v>74</v>
      </c>
      <c r="M104" t="s">
        <v>78</v>
      </c>
      <c r="N104" t="s">
        <v>1114</v>
      </c>
      <c r="O104" t="s">
        <v>74</v>
      </c>
      <c r="P104" t="s">
        <v>74</v>
      </c>
      <c r="Q104" t="s">
        <v>74</v>
      </c>
      <c r="R104" t="s">
        <v>74</v>
      </c>
      <c r="S104" t="s">
        <v>74</v>
      </c>
      <c r="T104" t="s">
        <v>74</v>
      </c>
      <c r="U104" t="s">
        <v>1417</v>
      </c>
      <c r="V104" t="s">
        <v>1418</v>
      </c>
      <c r="W104" t="s">
        <v>1419</v>
      </c>
      <c r="X104" t="s">
        <v>1420</v>
      </c>
      <c r="Y104" t="s">
        <v>1421</v>
      </c>
      <c r="Z104" t="s">
        <v>74</v>
      </c>
      <c r="AA104" t="s">
        <v>1422</v>
      </c>
      <c r="AB104" t="s">
        <v>1423</v>
      </c>
      <c r="AC104" t="s">
        <v>74</v>
      </c>
      <c r="AD104" t="s">
        <v>74</v>
      </c>
      <c r="AE104" t="s">
        <v>74</v>
      </c>
      <c r="AF104" t="s">
        <v>74</v>
      </c>
      <c r="AG104">
        <v>108</v>
      </c>
      <c r="AH104">
        <v>82</v>
      </c>
      <c r="AI104">
        <v>84</v>
      </c>
      <c r="AJ104">
        <v>1</v>
      </c>
      <c r="AK104">
        <v>35</v>
      </c>
      <c r="AL104" t="s">
        <v>806</v>
      </c>
      <c r="AM104" t="s">
        <v>807</v>
      </c>
      <c r="AN104" t="s">
        <v>808</v>
      </c>
      <c r="AO104" t="s">
        <v>1407</v>
      </c>
      <c r="AP104" t="s">
        <v>74</v>
      </c>
      <c r="AQ104" t="s">
        <v>74</v>
      </c>
      <c r="AR104" t="s">
        <v>1409</v>
      </c>
      <c r="AS104" t="s">
        <v>1410</v>
      </c>
      <c r="AT104" t="s">
        <v>74</v>
      </c>
      <c r="AU104">
        <v>2003</v>
      </c>
      <c r="AV104">
        <v>50</v>
      </c>
      <c r="AW104" t="s">
        <v>1424</v>
      </c>
      <c r="AX104" t="s">
        <v>74</v>
      </c>
      <c r="AY104" t="s">
        <v>74</v>
      </c>
      <c r="AZ104" t="s">
        <v>74</v>
      </c>
      <c r="BA104" t="s">
        <v>74</v>
      </c>
      <c r="BB104">
        <v>533</v>
      </c>
      <c r="BC104">
        <v>558</v>
      </c>
      <c r="BD104" t="s">
        <v>74</v>
      </c>
      <c r="BE104" t="s">
        <v>1425</v>
      </c>
      <c r="BF104" t="str">
        <f>HYPERLINK("http://dx.doi.org/10.1016/S0967-0645(02)00583-0","http://dx.doi.org/10.1016/S0967-0645(02)00583-0")</f>
        <v>http://dx.doi.org/10.1016/S0967-0645(02)00583-0</v>
      </c>
      <c r="BG104" t="s">
        <v>74</v>
      </c>
      <c r="BH104" t="s">
        <v>74</v>
      </c>
      <c r="BI104">
        <v>26</v>
      </c>
      <c r="BJ104" t="s">
        <v>1394</v>
      </c>
      <c r="BK104" t="s">
        <v>569</v>
      </c>
      <c r="BL104" t="s">
        <v>1394</v>
      </c>
      <c r="BM104" t="s">
        <v>1426</v>
      </c>
      <c r="BN104" t="s">
        <v>74</v>
      </c>
      <c r="BO104" t="s">
        <v>590</v>
      </c>
      <c r="BP104" t="s">
        <v>74</v>
      </c>
      <c r="BQ104" t="s">
        <v>74</v>
      </c>
      <c r="BR104" t="s">
        <v>98</v>
      </c>
      <c r="BS104" t="s">
        <v>1427</v>
      </c>
      <c r="BT104" t="str">
        <f>HYPERLINK("https%3A%2F%2Fwww.webofscience.com%2Fwos%2Fwoscc%2Ffull-record%2FWOS:000181922700002","View Full Record in Web of Science")</f>
        <v>View Full Record in Web of Science</v>
      </c>
    </row>
    <row r="105" spans="1:72" x14ac:dyDescent="0.15">
      <c r="A105" t="s">
        <v>552</v>
      </c>
      <c r="B105" t="s">
        <v>1428</v>
      </c>
      <c r="C105" t="s">
        <v>74</v>
      </c>
      <c r="D105" t="s">
        <v>74</v>
      </c>
      <c r="E105" t="s">
        <v>74</v>
      </c>
      <c r="F105" t="s">
        <v>1428</v>
      </c>
      <c r="G105" t="s">
        <v>74</v>
      </c>
      <c r="H105" t="s">
        <v>74</v>
      </c>
      <c r="I105" t="s">
        <v>1429</v>
      </c>
      <c r="J105" t="s">
        <v>1399</v>
      </c>
      <c r="K105" t="s">
        <v>74</v>
      </c>
      <c r="L105" t="s">
        <v>74</v>
      </c>
      <c r="M105" t="s">
        <v>78</v>
      </c>
      <c r="N105" t="s">
        <v>775</v>
      </c>
      <c r="O105" t="s">
        <v>74</v>
      </c>
      <c r="P105" t="s">
        <v>74</v>
      </c>
      <c r="Q105" t="s">
        <v>74</v>
      </c>
      <c r="R105" t="s">
        <v>74</v>
      </c>
      <c r="S105" t="s">
        <v>74</v>
      </c>
      <c r="T105" t="s">
        <v>74</v>
      </c>
      <c r="U105" t="s">
        <v>1430</v>
      </c>
      <c r="V105" t="s">
        <v>1431</v>
      </c>
      <c r="W105" t="s">
        <v>1432</v>
      </c>
      <c r="X105" t="s">
        <v>1433</v>
      </c>
      <c r="Y105" t="s">
        <v>1434</v>
      </c>
      <c r="Z105" t="s">
        <v>1435</v>
      </c>
      <c r="AA105" t="s">
        <v>74</v>
      </c>
      <c r="AB105" t="s">
        <v>1436</v>
      </c>
      <c r="AC105" t="s">
        <v>74</v>
      </c>
      <c r="AD105" t="s">
        <v>74</v>
      </c>
      <c r="AE105" t="s">
        <v>74</v>
      </c>
      <c r="AF105" t="s">
        <v>74</v>
      </c>
      <c r="AG105">
        <v>63</v>
      </c>
      <c r="AH105">
        <v>21</v>
      </c>
      <c r="AI105">
        <v>22</v>
      </c>
      <c r="AJ105">
        <v>1</v>
      </c>
      <c r="AK105">
        <v>11</v>
      </c>
      <c r="AL105" t="s">
        <v>806</v>
      </c>
      <c r="AM105" t="s">
        <v>807</v>
      </c>
      <c r="AN105" t="s">
        <v>808</v>
      </c>
      <c r="AO105" t="s">
        <v>1407</v>
      </c>
      <c r="AP105" t="s">
        <v>1408</v>
      </c>
      <c r="AQ105" t="s">
        <v>74</v>
      </c>
      <c r="AR105" t="s">
        <v>1409</v>
      </c>
      <c r="AS105" t="s">
        <v>1410</v>
      </c>
      <c r="AT105" t="s">
        <v>74</v>
      </c>
      <c r="AU105">
        <v>2003</v>
      </c>
      <c r="AV105">
        <v>50</v>
      </c>
      <c r="AW105" t="s">
        <v>1424</v>
      </c>
      <c r="AX105" t="s">
        <v>74</v>
      </c>
      <c r="AY105" t="s">
        <v>74</v>
      </c>
      <c r="AZ105" t="s">
        <v>74</v>
      </c>
      <c r="BA105" t="s">
        <v>74</v>
      </c>
      <c r="BB105">
        <v>559</v>
      </c>
      <c r="BC105">
        <v>578</v>
      </c>
      <c r="BD105" t="s">
        <v>1437</v>
      </c>
      <c r="BE105" t="s">
        <v>1438</v>
      </c>
      <c r="BF105" t="str">
        <f>HYPERLINK("http://dx.doi.org/10.1016/S0967-0645(02)00584-2","http://dx.doi.org/10.1016/S0967-0645(02)00584-2")</f>
        <v>http://dx.doi.org/10.1016/S0967-0645(02)00584-2</v>
      </c>
      <c r="BG105" t="s">
        <v>74</v>
      </c>
      <c r="BH105" t="s">
        <v>74</v>
      </c>
      <c r="BI105">
        <v>20</v>
      </c>
      <c r="BJ105" t="s">
        <v>1394</v>
      </c>
      <c r="BK105" t="s">
        <v>569</v>
      </c>
      <c r="BL105" t="s">
        <v>1394</v>
      </c>
      <c r="BM105" t="s">
        <v>1426</v>
      </c>
      <c r="BN105" t="s">
        <v>74</v>
      </c>
      <c r="BO105" t="s">
        <v>74</v>
      </c>
      <c r="BP105" t="s">
        <v>74</v>
      </c>
      <c r="BQ105" t="s">
        <v>74</v>
      </c>
      <c r="BR105" t="s">
        <v>98</v>
      </c>
      <c r="BS105" t="s">
        <v>1439</v>
      </c>
      <c r="BT105" t="str">
        <f>HYPERLINK("https%3A%2F%2Fwww.webofscience.com%2Fwos%2Fwoscc%2Ffull-record%2FWOS:000181922700003","View Full Record in Web of Science")</f>
        <v>View Full Record in Web of Science</v>
      </c>
    </row>
    <row r="106" spans="1:72" x14ac:dyDescent="0.15">
      <c r="A106" t="s">
        <v>552</v>
      </c>
      <c r="B106" t="s">
        <v>1440</v>
      </c>
      <c r="C106" t="s">
        <v>74</v>
      </c>
      <c r="D106" t="s">
        <v>74</v>
      </c>
      <c r="E106" t="s">
        <v>74</v>
      </c>
      <c r="F106" t="s">
        <v>1440</v>
      </c>
      <c r="G106" t="s">
        <v>74</v>
      </c>
      <c r="H106" t="s">
        <v>74</v>
      </c>
      <c r="I106" t="s">
        <v>1441</v>
      </c>
      <c r="J106" t="s">
        <v>1399</v>
      </c>
      <c r="K106" t="s">
        <v>74</v>
      </c>
      <c r="L106" t="s">
        <v>74</v>
      </c>
      <c r="M106" t="s">
        <v>78</v>
      </c>
      <c r="N106" t="s">
        <v>775</v>
      </c>
      <c r="O106" t="s">
        <v>74</v>
      </c>
      <c r="P106" t="s">
        <v>74</v>
      </c>
      <c r="Q106" t="s">
        <v>74</v>
      </c>
      <c r="R106" t="s">
        <v>74</v>
      </c>
      <c r="S106" t="s">
        <v>74</v>
      </c>
      <c r="T106" t="s">
        <v>74</v>
      </c>
      <c r="U106" t="s">
        <v>1442</v>
      </c>
      <c r="V106" t="s">
        <v>1443</v>
      </c>
      <c r="W106" t="s">
        <v>1444</v>
      </c>
      <c r="X106" t="s">
        <v>1445</v>
      </c>
      <c r="Y106" t="s">
        <v>1446</v>
      </c>
      <c r="Z106" t="s">
        <v>1447</v>
      </c>
      <c r="AA106" t="s">
        <v>74</v>
      </c>
      <c r="AB106" t="s">
        <v>74</v>
      </c>
      <c r="AC106" t="s">
        <v>74</v>
      </c>
      <c r="AD106" t="s">
        <v>74</v>
      </c>
      <c r="AE106" t="s">
        <v>74</v>
      </c>
      <c r="AF106" t="s">
        <v>74</v>
      </c>
      <c r="AG106">
        <v>51</v>
      </c>
      <c r="AH106">
        <v>64</v>
      </c>
      <c r="AI106">
        <v>69</v>
      </c>
      <c r="AJ106">
        <v>1</v>
      </c>
      <c r="AK106">
        <v>21</v>
      </c>
      <c r="AL106" t="s">
        <v>806</v>
      </c>
      <c r="AM106" t="s">
        <v>807</v>
      </c>
      <c r="AN106" t="s">
        <v>808</v>
      </c>
      <c r="AO106" t="s">
        <v>1407</v>
      </c>
      <c r="AP106" t="s">
        <v>1408</v>
      </c>
      <c r="AQ106" t="s">
        <v>74</v>
      </c>
      <c r="AR106" t="s">
        <v>1409</v>
      </c>
      <c r="AS106" t="s">
        <v>1410</v>
      </c>
      <c r="AT106" t="s">
        <v>74</v>
      </c>
      <c r="AU106">
        <v>2003</v>
      </c>
      <c r="AV106">
        <v>50</v>
      </c>
      <c r="AW106" t="s">
        <v>1424</v>
      </c>
      <c r="AX106" t="s">
        <v>74</v>
      </c>
      <c r="AY106" t="s">
        <v>74</v>
      </c>
      <c r="AZ106" t="s">
        <v>74</v>
      </c>
      <c r="BA106" t="s">
        <v>74</v>
      </c>
      <c r="BB106">
        <v>579</v>
      </c>
      <c r="BC106">
        <v>603</v>
      </c>
      <c r="BD106" t="s">
        <v>74</v>
      </c>
      <c r="BE106" t="s">
        <v>1448</v>
      </c>
      <c r="BF106" t="str">
        <f>HYPERLINK("http://dx.doi.org/10.1016/S0967-0645(02)00585-4","http://dx.doi.org/10.1016/S0967-0645(02)00585-4")</f>
        <v>http://dx.doi.org/10.1016/S0967-0645(02)00585-4</v>
      </c>
      <c r="BG106" t="s">
        <v>74</v>
      </c>
      <c r="BH106" t="s">
        <v>74</v>
      </c>
      <c r="BI106">
        <v>25</v>
      </c>
      <c r="BJ106" t="s">
        <v>1394</v>
      </c>
      <c r="BK106" t="s">
        <v>569</v>
      </c>
      <c r="BL106" t="s">
        <v>1394</v>
      </c>
      <c r="BM106" t="s">
        <v>1426</v>
      </c>
      <c r="BN106" t="s">
        <v>74</v>
      </c>
      <c r="BO106" t="s">
        <v>590</v>
      </c>
      <c r="BP106" t="s">
        <v>74</v>
      </c>
      <c r="BQ106" t="s">
        <v>74</v>
      </c>
      <c r="BR106" t="s">
        <v>98</v>
      </c>
      <c r="BS106" t="s">
        <v>1449</v>
      </c>
      <c r="BT106" t="str">
        <f>HYPERLINK("https%3A%2F%2Fwww.webofscience.com%2Fwos%2Fwoscc%2Ffull-record%2FWOS:000181922700004","View Full Record in Web of Science")</f>
        <v>View Full Record in Web of Science</v>
      </c>
    </row>
    <row r="107" spans="1:72" x14ac:dyDescent="0.15">
      <c r="A107" t="s">
        <v>552</v>
      </c>
      <c r="B107" t="s">
        <v>1450</v>
      </c>
      <c r="C107" t="s">
        <v>74</v>
      </c>
      <c r="D107" t="s">
        <v>74</v>
      </c>
      <c r="E107" t="s">
        <v>74</v>
      </c>
      <c r="F107" t="s">
        <v>1450</v>
      </c>
      <c r="G107" t="s">
        <v>74</v>
      </c>
      <c r="H107" t="s">
        <v>74</v>
      </c>
      <c r="I107" t="s">
        <v>1451</v>
      </c>
      <c r="J107" t="s">
        <v>1399</v>
      </c>
      <c r="K107" t="s">
        <v>74</v>
      </c>
      <c r="L107" t="s">
        <v>74</v>
      </c>
      <c r="M107" t="s">
        <v>78</v>
      </c>
      <c r="N107" t="s">
        <v>775</v>
      </c>
      <c r="O107" t="s">
        <v>74</v>
      </c>
      <c r="P107" t="s">
        <v>74</v>
      </c>
      <c r="Q107" t="s">
        <v>74</v>
      </c>
      <c r="R107" t="s">
        <v>74</v>
      </c>
      <c r="S107" t="s">
        <v>74</v>
      </c>
      <c r="T107" t="s">
        <v>74</v>
      </c>
      <c r="U107" t="s">
        <v>1452</v>
      </c>
      <c r="V107" t="s">
        <v>1453</v>
      </c>
      <c r="W107" t="s">
        <v>1454</v>
      </c>
      <c r="X107" t="s">
        <v>1455</v>
      </c>
      <c r="Y107" t="s">
        <v>1456</v>
      </c>
      <c r="Z107" t="s">
        <v>1457</v>
      </c>
      <c r="AA107" t="s">
        <v>74</v>
      </c>
      <c r="AB107" t="s">
        <v>74</v>
      </c>
      <c r="AC107" t="s">
        <v>74</v>
      </c>
      <c r="AD107" t="s">
        <v>74</v>
      </c>
      <c r="AE107" t="s">
        <v>74</v>
      </c>
      <c r="AF107" t="s">
        <v>74</v>
      </c>
      <c r="AG107">
        <v>50</v>
      </c>
      <c r="AH107">
        <v>103</v>
      </c>
      <c r="AI107">
        <v>117</v>
      </c>
      <c r="AJ107">
        <v>1</v>
      </c>
      <c r="AK107">
        <v>68</v>
      </c>
      <c r="AL107" t="s">
        <v>806</v>
      </c>
      <c r="AM107" t="s">
        <v>807</v>
      </c>
      <c r="AN107" t="s">
        <v>808</v>
      </c>
      <c r="AO107" t="s">
        <v>1407</v>
      </c>
      <c r="AP107" t="s">
        <v>1408</v>
      </c>
      <c r="AQ107" t="s">
        <v>74</v>
      </c>
      <c r="AR107" t="s">
        <v>1409</v>
      </c>
      <c r="AS107" t="s">
        <v>1410</v>
      </c>
      <c r="AT107" t="s">
        <v>74</v>
      </c>
      <c r="AU107">
        <v>2003</v>
      </c>
      <c r="AV107">
        <v>50</v>
      </c>
      <c r="AW107" t="s">
        <v>1424</v>
      </c>
      <c r="AX107" t="s">
        <v>74</v>
      </c>
      <c r="AY107" t="s">
        <v>74</v>
      </c>
      <c r="AZ107" t="s">
        <v>74</v>
      </c>
      <c r="BA107" t="s">
        <v>74</v>
      </c>
      <c r="BB107">
        <v>619</v>
      </c>
      <c r="BC107">
        <v>633</v>
      </c>
      <c r="BD107" t="s">
        <v>1458</v>
      </c>
      <c r="BE107" t="s">
        <v>1459</v>
      </c>
      <c r="BF107" t="str">
        <f>HYPERLINK("http://dx.doi.org/10.1016/S0967-0645(02)00587-8","http://dx.doi.org/10.1016/S0967-0645(02)00587-8")</f>
        <v>http://dx.doi.org/10.1016/S0967-0645(02)00587-8</v>
      </c>
      <c r="BG107" t="s">
        <v>74</v>
      </c>
      <c r="BH107" t="s">
        <v>74</v>
      </c>
      <c r="BI107">
        <v>15</v>
      </c>
      <c r="BJ107" t="s">
        <v>1394</v>
      </c>
      <c r="BK107" t="s">
        <v>569</v>
      </c>
      <c r="BL107" t="s">
        <v>1394</v>
      </c>
      <c r="BM107" t="s">
        <v>1426</v>
      </c>
      <c r="BN107" t="s">
        <v>74</v>
      </c>
      <c r="BO107" t="s">
        <v>74</v>
      </c>
      <c r="BP107" t="s">
        <v>74</v>
      </c>
      <c r="BQ107" t="s">
        <v>74</v>
      </c>
      <c r="BR107" t="s">
        <v>98</v>
      </c>
      <c r="BS107" t="s">
        <v>1460</v>
      </c>
      <c r="BT107" t="str">
        <f>HYPERLINK("https%3A%2F%2Fwww.webofscience.com%2Fwos%2Fwoscc%2Ffull-record%2FWOS:000181922700006","View Full Record in Web of Science")</f>
        <v>View Full Record in Web of Science</v>
      </c>
    </row>
    <row r="108" spans="1:72" x14ac:dyDescent="0.15">
      <c r="A108" t="s">
        <v>552</v>
      </c>
      <c r="B108" t="s">
        <v>1461</v>
      </c>
      <c r="C108" t="s">
        <v>74</v>
      </c>
      <c r="D108" t="s">
        <v>74</v>
      </c>
      <c r="E108" t="s">
        <v>74</v>
      </c>
      <c r="F108" t="s">
        <v>1461</v>
      </c>
      <c r="G108" t="s">
        <v>74</v>
      </c>
      <c r="H108" t="s">
        <v>74</v>
      </c>
      <c r="I108" t="s">
        <v>1462</v>
      </c>
      <c r="J108" t="s">
        <v>1399</v>
      </c>
      <c r="K108" t="s">
        <v>74</v>
      </c>
      <c r="L108" t="s">
        <v>74</v>
      </c>
      <c r="M108" t="s">
        <v>78</v>
      </c>
      <c r="N108" t="s">
        <v>775</v>
      </c>
      <c r="O108" t="s">
        <v>74</v>
      </c>
      <c r="P108" t="s">
        <v>74</v>
      </c>
      <c r="Q108" t="s">
        <v>74</v>
      </c>
      <c r="R108" t="s">
        <v>74</v>
      </c>
      <c r="S108" t="s">
        <v>74</v>
      </c>
      <c r="T108" t="s">
        <v>74</v>
      </c>
      <c r="U108" t="s">
        <v>1463</v>
      </c>
      <c r="V108" t="s">
        <v>1464</v>
      </c>
      <c r="W108" t="s">
        <v>1465</v>
      </c>
      <c r="X108" t="s">
        <v>1466</v>
      </c>
      <c r="Y108" t="s">
        <v>1467</v>
      </c>
      <c r="Z108" t="s">
        <v>74</v>
      </c>
      <c r="AA108" t="s">
        <v>1468</v>
      </c>
      <c r="AB108" t="s">
        <v>1469</v>
      </c>
      <c r="AC108" t="s">
        <v>74</v>
      </c>
      <c r="AD108" t="s">
        <v>74</v>
      </c>
      <c r="AE108" t="s">
        <v>74</v>
      </c>
      <c r="AF108" t="s">
        <v>74</v>
      </c>
      <c r="AG108">
        <v>48</v>
      </c>
      <c r="AH108">
        <v>119</v>
      </c>
      <c r="AI108">
        <v>132</v>
      </c>
      <c r="AJ108">
        <v>0</v>
      </c>
      <c r="AK108">
        <v>32</v>
      </c>
      <c r="AL108" t="s">
        <v>806</v>
      </c>
      <c r="AM108" t="s">
        <v>807</v>
      </c>
      <c r="AN108" t="s">
        <v>808</v>
      </c>
      <c r="AO108" t="s">
        <v>1407</v>
      </c>
      <c r="AP108" t="s">
        <v>74</v>
      </c>
      <c r="AQ108" t="s">
        <v>74</v>
      </c>
      <c r="AR108" t="s">
        <v>1409</v>
      </c>
      <c r="AS108" t="s">
        <v>1410</v>
      </c>
      <c r="AT108" t="s">
        <v>74</v>
      </c>
      <c r="AU108">
        <v>2003</v>
      </c>
      <c r="AV108">
        <v>50</v>
      </c>
      <c r="AW108" t="s">
        <v>1424</v>
      </c>
      <c r="AX108" t="s">
        <v>74</v>
      </c>
      <c r="AY108" t="s">
        <v>74</v>
      </c>
      <c r="AZ108" t="s">
        <v>74</v>
      </c>
      <c r="BA108" t="s">
        <v>74</v>
      </c>
      <c r="BB108">
        <v>635</v>
      </c>
      <c r="BC108">
        <v>653</v>
      </c>
      <c r="BD108" t="s">
        <v>1470</v>
      </c>
      <c r="BE108" t="s">
        <v>1471</v>
      </c>
      <c r="BF108" t="str">
        <f>HYPERLINK("http://dx.doi.org/10.1016/S0967-0645(02)00588-X","http://dx.doi.org/10.1016/S0967-0645(02)00588-X")</f>
        <v>http://dx.doi.org/10.1016/S0967-0645(02)00588-X</v>
      </c>
      <c r="BG108" t="s">
        <v>74</v>
      </c>
      <c r="BH108" t="s">
        <v>74</v>
      </c>
      <c r="BI108">
        <v>19</v>
      </c>
      <c r="BJ108" t="s">
        <v>1394</v>
      </c>
      <c r="BK108" t="s">
        <v>569</v>
      </c>
      <c r="BL108" t="s">
        <v>1394</v>
      </c>
      <c r="BM108" t="s">
        <v>1426</v>
      </c>
      <c r="BN108" t="s">
        <v>74</v>
      </c>
      <c r="BO108" t="s">
        <v>74</v>
      </c>
      <c r="BP108" t="s">
        <v>74</v>
      </c>
      <c r="BQ108" t="s">
        <v>74</v>
      </c>
      <c r="BR108" t="s">
        <v>98</v>
      </c>
      <c r="BS108" t="s">
        <v>1472</v>
      </c>
      <c r="BT108" t="str">
        <f>HYPERLINK("https%3A%2F%2Fwww.webofscience.com%2Fwos%2Fwoscc%2Ffull-record%2FWOS:000181922700007","View Full Record in Web of Science")</f>
        <v>View Full Record in Web of Science</v>
      </c>
    </row>
    <row r="109" spans="1:72" x14ac:dyDescent="0.15">
      <c r="A109" t="s">
        <v>552</v>
      </c>
      <c r="B109" t="s">
        <v>1473</v>
      </c>
      <c r="C109" t="s">
        <v>74</v>
      </c>
      <c r="D109" t="s">
        <v>74</v>
      </c>
      <c r="E109" t="s">
        <v>74</v>
      </c>
      <c r="F109" t="s">
        <v>1473</v>
      </c>
      <c r="G109" t="s">
        <v>74</v>
      </c>
      <c r="H109" t="s">
        <v>74</v>
      </c>
      <c r="I109" t="s">
        <v>1474</v>
      </c>
      <c r="J109" t="s">
        <v>1399</v>
      </c>
      <c r="K109" t="s">
        <v>74</v>
      </c>
      <c r="L109" t="s">
        <v>74</v>
      </c>
      <c r="M109" t="s">
        <v>78</v>
      </c>
      <c r="N109" t="s">
        <v>775</v>
      </c>
      <c r="O109" t="s">
        <v>74</v>
      </c>
      <c r="P109" t="s">
        <v>74</v>
      </c>
      <c r="Q109" t="s">
        <v>74</v>
      </c>
      <c r="R109" t="s">
        <v>74</v>
      </c>
      <c r="S109" t="s">
        <v>74</v>
      </c>
      <c r="T109" t="s">
        <v>74</v>
      </c>
      <c r="U109" t="s">
        <v>1475</v>
      </c>
      <c r="V109" t="s">
        <v>1476</v>
      </c>
      <c r="W109" t="s">
        <v>1477</v>
      </c>
      <c r="X109" t="s">
        <v>1478</v>
      </c>
      <c r="Y109" t="s">
        <v>1479</v>
      </c>
      <c r="Z109" t="s">
        <v>1480</v>
      </c>
      <c r="AA109" t="s">
        <v>1481</v>
      </c>
      <c r="AB109" t="s">
        <v>1482</v>
      </c>
      <c r="AC109" t="s">
        <v>74</v>
      </c>
      <c r="AD109" t="s">
        <v>74</v>
      </c>
      <c r="AE109" t="s">
        <v>74</v>
      </c>
      <c r="AF109" t="s">
        <v>74</v>
      </c>
      <c r="AG109">
        <v>53</v>
      </c>
      <c r="AH109">
        <v>92</v>
      </c>
      <c r="AI109">
        <v>100</v>
      </c>
      <c r="AJ109">
        <v>0</v>
      </c>
      <c r="AK109">
        <v>36</v>
      </c>
      <c r="AL109" t="s">
        <v>806</v>
      </c>
      <c r="AM109" t="s">
        <v>807</v>
      </c>
      <c r="AN109" t="s">
        <v>808</v>
      </c>
      <c r="AO109" t="s">
        <v>1407</v>
      </c>
      <c r="AP109" t="s">
        <v>1408</v>
      </c>
      <c r="AQ109" t="s">
        <v>74</v>
      </c>
      <c r="AR109" t="s">
        <v>1409</v>
      </c>
      <c r="AS109" t="s">
        <v>1410</v>
      </c>
      <c r="AT109" t="s">
        <v>74</v>
      </c>
      <c r="AU109">
        <v>2003</v>
      </c>
      <c r="AV109">
        <v>50</v>
      </c>
      <c r="AW109" t="s">
        <v>1424</v>
      </c>
      <c r="AX109" t="s">
        <v>74</v>
      </c>
      <c r="AY109" t="s">
        <v>74</v>
      </c>
      <c r="AZ109" t="s">
        <v>74</v>
      </c>
      <c r="BA109" t="s">
        <v>74</v>
      </c>
      <c r="BB109">
        <v>655</v>
      </c>
      <c r="BC109">
        <v>674</v>
      </c>
      <c r="BD109" t="s">
        <v>1483</v>
      </c>
      <c r="BE109" t="s">
        <v>1484</v>
      </c>
      <c r="BF109" t="str">
        <f>HYPERLINK("http://dx.doi.org/10.1016/S0967-0645(02)00589-1","http://dx.doi.org/10.1016/S0967-0645(02)00589-1")</f>
        <v>http://dx.doi.org/10.1016/S0967-0645(02)00589-1</v>
      </c>
      <c r="BG109" t="s">
        <v>74</v>
      </c>
      <c r="BH109" t="s">
        <v>74</v>
      </c>
      <c r="BI109">
        <v>20</v>
      </c>
      <c r="BJ109" t="s">
        <v>1394</v>
      </c>
      <c r="BK109" t="s">
        <v>569</v>
      </c>
      <c r="BL109" t="s">
        <v>1394</v>
      </c>
      <c r="BM109" t="s">
        <v>1426</v>
      </c>
      <c r="BN109" t="s">
        <v>74</v>
      </c>
      <c r="BO109" t="s">
        <v>74</v>
      </c>
      <c r="BP109" t="s">
        <v>74</v>
      </c>
      <c r="BQ109" t="s">
        <v>74</v>
      </c>
      <c r="BR109" t="s">
        <v>98</v>
      </c>
      <c r="BS109" t="s">
        <v>1485</v>
      </c>
      <c r="BT109" t="str">
        <f>HYPERLINK("https%3A%2F%2Fwww.webofscience.com%2Fwos%2Fwoscc%2Ffull-record%2FWOS:000181922700008","View Full Record in Web of Science")</f>
        <v>View Full Record in Web of Science</v>
      </c>
    </row>
    <row r="110" spans="1:72" x14ac:dyDescent="0.15">
      <c r="A110" t="s">
        <v>552</v>
      </c>
      <c r="B110" t="s">
        <v>1486</v>
      </c>
      <c r="C110" t="s">
        <v>74</v>
      </c>
      <c r="D110" t="s">
        <v>74</v>
      </c>
      <c r="E110" t="s">
        <v>74</v>
      </c>
      <c r="F110" t="s">
        <v>1486</v>
      </c>
      <c r="G110" t="s">
        <v>74</v>
      </c>
      <c r="H110" t="s">
        <v>74</v>
      </c>
      <c r="I110" t="s">
        <v>1487</v>
      </c>
      <c r="J110" t="s">
        <v>1399</v>
      </c>
      <c r="K110" t="s">
        <v>74</v>
      </c>
      <c r="L110" t="s">
        <v>74</v>
      </c>
      <c r="M110" t="s">
        <v>78</v>
      </c>
      <c r="N110" t="s">
        <v>775</v>
      </c>
      <c r="O110" t="s">
        <v>74</v>
      </c>
      <c r="P110" t="s">
        <v>74</v>
      </c>
      <c r="Q110" t="s">
        <v>74</v>
      </c>
      <c r="R110" t="s">
        <v>74</v>
      </c>
      <c r="S110" t="s">
        <v>74</v>
      </c>
      <c r="T110" t="s">
        <v>74</v>
      </c>
      <c r="U110" t="s">
        <v>1488</v>
      </c>
      <c r="V110" t="s">
        <v>1489</v>
      </c>
      <c r="W110" t="s">
        <v>1490</v>
      </c>
      <c r="X110" t="s">
        <v>74</v>
      </c>
      <c r="Y110" t="s">
        <v>1491</v>
      </c>
      <c r="Z110" t="s">
        <v>1492</v>
      </c>
      <c r="AA110" t="s">
        <v>74</v>
      </c>
      <c r="AB110" t="s">
        <v>74</v>
      </c>
      <c r="AC110" t="s">
        <v>74</v>
      </c>
      <c r="AD110" t="s">
        <v>74</v>
      </c>
      <c r="AE110" t="s">
        <v>74</v>
      </c>
      <c r="AF110" t="s">
        <v>74</v>
      </c>
      <c r="AG110">
        <v>34</v>
      </c>
      <c r="AH110">
        <v>42</v>
      </c>
      <c r="AI110">
        <v>51</v>
      </c>
      <c r="AJ110">
        <v>0</v>
      </c>
      <c r="AK110">
        <v>20</v>
      </c>
      <c r="AL110" t="s">
        <v>806</v>
      </c>
      <c r="AM110" t="s">
        <v>807</v>
      </c>
      <c r="AN110" t="s">
        <v>808</v>
      </c>
      <c r="AO110" t="s">
        <v>1407</v>
      </c>
      <c r="AP110" t="s">
        <v>74</v>
      </c>
      <c r="AQ110" t="s">
        <v>74</v>
      </c>
      <c r="AR110" t="s">
        <v>1409</v>
      </c>
      <c r="AS110" t="s">
        <v>1410</v>
      </c>
      <c r="AT110" t="s">
        <v>74</v>
      </c>
      <c r="AU110">
        <v>2003</v>
      </c>
      <c r="AV110">
        <v>50</v>
      </c>
      <c r="AW110" t="s">
        <v>1424</v>
      </c>
      <c r="AX110" t="s">
        <v>74</v>
      </c>
      <c r="AY110" t="s">
        <v>74</v>
      </c>
      <c r="AZ110" t="s">
        <v>74</v>
      </c>
      <c r="BA110" t="s">
        <v>74</v>
      </c>
      <c r="BB110">
        <v>675</v>
      </c>
      <c r="BC110">
        <v>691</v>
      </c>
      <c r="BD110" t="s">
        <v>1493</v>
      </c>
      <c r="BE110" t="s">
        <v>1494</v>
      </c>
      <c r="BF110" t="str">
        <f>HYPERLINK("http://dx.doi.org/10.1016/S0967-0645(02)00590-8","http://dx.doi.org/10.1016/S0967-0645(02)00590-8")</f>
        <v>http://dx.doi.org/10.1016/S0967-0645(02)00590-8</v>
      </c>
      <c r="BG110" t="s">
        <v>74</v>
      </c>
      <c r="BH110" t="s">
        <v>74</v>
      </c>
      <c r="BI110">
        <v>17</v>
      </c>
      <c r="BJ110" t="s">
        <v>1394</v>
      </c>
      <c r="BK110" t="s">
        <v>569</v>
      </c>
      <c r="BL110" t="s">
        <v>1394</v>
      </c>
      <c r="BM110" t="s">
        <v>1426</v>
      </c>
      <c r="BN110" t="s">
        <v>74</v>
      </c>
      <c r="BO110" t="s">
        <v>74</v>
      </c>
      <c r="BP110" t="s">
        <v>74</v>
      </c>
      <c r="BQ110" t="s">
        <v>74</v>
      </c>
      <c r="BR110" t="s">
        <v>98</v>
      </c>
      <c r="BS110" t="s">
        <v>1495</v>
      </c>
      <c r="BT110" t="str">
        <f>HYPERLINK("https%3A%2F%2Fwww.webofscience.com%2Fwos%2Fwoscc%2Ffull-record%2FWOS:000181922700009","View Full Record in Web of Science")</f>
        <v>View Full Record in Web of Science</v>
      </c>
    </row>
    <row r="111" spans="1:72" x14ac:dyDescent="0.15">
      <c r="A111" t="s">
        <v>552</v>
      </c>
      <c r="B111" t="s">
        <v>1496</v>
      </c>
      <c r="C111" t="s">
        <v>74</v>
      </c>
      <c r="D111" t="s">
        <v>74</v>
      </c>
      <c r="E111" t="s">
        <v>74</v>
      </c>
      <c r="F111" t="s">
        <v>1496</v>
      </c>
      <c r="G111" t="s">
        <v>74</v>
      </c>
      <c r="H111" t="s">
        <v>74</v>
      </c>
      <c r="I111" t="s">
        <v>1497</v>
      </c>
      <c r="J111" t="s">
        <v>1399</v>
      </c>
      <c r="K111" t="s">
        <v>74</v>
      </c>
      <c r="L111" t="s">
        <v>74</v>
      </c>
      <c r="M111" t="s">
        <v>78</v>
      </c>
      <c r="N111" t="s">
        <v>775</v>
      </c>
      <c r="O111" t="s">
        <v>74</v>
      </c>
      <c r="P111" t="s">
        <v>74</v>
      </c>
      <c r="Q111" t="s">
        <v>74</v>
      </c>
      <c r="R111" t="s">
        <v>74</v>
      </c>
      <c r="S111" t="s">
        <v>74</v>
      </c>
      <c r="T111" t="s">
        <v>74</v>
      </c>
      <c r="U111" t="s">
        <v>1498</v>
      </c>
      <c r="V111" t="s">
        <v>1499</v>
      </c>
      <c r="W111" t="s">
        <v>1500</v>
      </c>
      <c r="X111" t="s">
        <v>1501</v>
      </c>
      <c r="Y111" t="s">
        <v>1502</v>
      </c>
      <c r="Z111" t="s">
        <v>1503</v>
      </c>
      <c r="AA111" t="s">
        <v>1504</v>
      </c>
      <c r="AB111" t="s">
        <v>1505</v>
      </c>
      <c r="AC111" t="s">
        <v>74</v>
      </c>
      <c r="AD111" t="s">
        <v>74</v>
      </c>
      <c r="AE111" t="s">
        <v>74</v>
      </c>
      <c r="AF111" t="s">
        <v>74</v>
      </c>
      <c r="AG111">
        <v>75</v>
      </c>
      <c r="AH111">
        <v>134</v>
      </c>
      <c r="AI111">
        <v>149</v>
      </c>
      <c r="AJ111">
        <v>2</v>
      </c>
      <c r="AK111">
        <v>46</v>
      </c>
      <c r="AL111" t="s">
        <v>806</v>
      </c>
      <c r="AM111" t="s">
        <v>807</v>
      </c>
      <c r="AN111" t="s">
        <v>808</v>
      </c>
      <c r="AO111" t="s">
        <v>1407</v>
      </c>
      <c r="AP111" t="s">
        <v>1408</v>
      </c>
      <c r="AQ111" t="s">
        <v>74</v>
      </c>
      <c r="AR111" t="s">
        <v>1409</v>
      </c>
      <c r="AS111" t="s">
        <v>1410</v>
      </c>
      <c r="AT111" t="s">
        <v>74</v>
      </c>
      <c r="AU111">
        <v>2003</v>
      </c>
      <c r="AV111">
        <v>50</v>
      </c>
      <c r="AW111" t="s">
        <v>1424</v>
      </c>
      <c r="AX111" t="s">
        <v>74</v>
      </c>
      <c r="AY111" t="s">
        <v>74</v>
      </c>
      <c r="AZ111" t="s">
        <v>74</v>
      </c>
      <c r="BA111" t="s">
        <v>74</v>
      </c>
      <c r="BB111">
        <v>713</v>
      </c>
      <c r="BC111">
        <v>738</v>
      </c>
      <c r="BD111" t="s">
        <v>1506</v>
      </c>
      <c r="BE111" t="s">
        <v>1507</v>
      </c>
      <c r="BF111" t="str">
        <f>HYPERLINK("http://dx.doi.org/10.1016/S0967-0645(02)00592-1","http://dx.doi.org/10.1016/S0967-0645(02)00592-1")</f>
        <v>http://dx.doi.org/10.1016/S0967-0645(02)00592-1</v>
      </c>
      <c r="BG111" t="s">
        <v>74</v>
      </c>
      <c r="BH111" t="s">
        <v>74</v>
      </c>
      <c r="BI111">
        <v>26</v>
      </c>
      <c r="BJ111" t="s">
        <v>1394</v>
      </c>
      <c r="BK111" t="s">
        <v>569</v>
      </c>
      <c r="BL111" t="s">
        <v>1394</v>
      </c>
      <c r="BM111" t="s">
        <v>1426</v>
      </c>
      <c r="BN111" t="s">
        <v>74</v>
      </c>
      <c r="BO111" t="s">
        <v>74</v>
      </c>
      <c r="BP111" t="s">
        <v>74</v>
      </c>
      <c r="BQ111" t="s">
        <v>74</v>
      </c>
      <c r="BR111" t="s">
        <v>98</v>
      </c>
      <c r="BS111" t="s">
        <v>1508</v>
      </c>
      <c r="BT111" t="str">
        <f>HYPERLINK("https%3A%2F%2Fwww.webofscience.com%2Fwos%2Fwoscc%2Ffull-record%2FWOS:000181922700011","View Full Record in Web of Science")</f>
        <v>View Full Record in Web of Science</v>
      </c>
    </row>
    <row r="112" spans="1:72" x14ac:dyDescent="0.15">
      <c r="A112" t="s">
        <v>552</v>
      </c>
      <c r="B112" t="s">
        <v>1509</v>
      </c>
      <c r="C112" t="s">
        <v>74</v>
      </c>
      <c r="D112" t="s">
        <v>74</v>
      </c>
      <c r="E112" t="s">
        <v>74</v>
      </c>
      <c r="F112" t="s">
        <v>1509</v>
      </c>
      <c r="G112" t="s">
        <v>74</v>
      </c>
      <c r="H112" t="s">
        <v>74</v>
      </c>
      <c r="I112" t="s">
        <v>1510</v>
      </c>
      <c r="J112" t="s">
        <v>1399</v>
      </c>
      <c r="K112" t="s">
        <v>74</v>
      </c>
      <c r="L112" t="s">
        <v>74</v>
      </c>
      <c r="M112" t="s">
        <v>78</v>
      </c>
      <c r="N112" t="s">
        <v>775</v>
      </c>
      <c r="O112" t="s">
        <v>74</v>
      </c>
      <c r="P112" t="s">
        <v>74</v>
      </c>
      <c r="Q112" t="s">
        <v>74</v>
      </c>
      <c r="R112" t="s">
        <v>74</v>
      </c>
      <c r="S112" t="s">
        <v>74</v>
      </c>
      <c r="T112" t="s">
        <v>74</v>
      </c>
      <c r="U112" t="s">
        <v>1511</v>
      </c>
      <c r="V112" t="s">
        <v>1512</v>
      </c>
      <c r="W112" t="s">
        <v>1513</v>
      </c>
      <c r="X112" t="s">
        <v>1514</v>
      </c>
      <c r="Y112" t="s">
        <v>1515</v>
      </c>
      <c r="Z112" t="s">
        <v>1516</v>
      </c>
      <c r="AA112" t="s">
        <v>1517</v>
      </c>
      <c r="AB112" t="s">
        <v>1518</v>
      </c>
      <c r="AC112" t="s">
        <v>74</v>
      </c>
      <c r="AD112" t="s">
        <v>74</v>
      </c>
      <c r="AE112" t="s">
        <v>74</v>
      </c>
      <c r="AF112" t="s">
        <v>74</v>
      </c>
      <c r="AG112">
        <v>53</v>
      </c>
      <c r="AH112">
        <v>74</v>
      </c>
      <c r="AI112">
        <v>81</v>
      </c>
      <c r="AJ112">
        <v>1</v>
      </c>
      <c r="AK112">
        <v>18</v>
      </c>
      <c r="AL112" t="s">
        <v>806</v>
      </c>
      <c r="AM112" t="s">
        <v>807</v>
      </c>
      <c r="AN112" t="s">
        <v>808</v>
      </c>
      <c r="AO112" t="s">
        <v>1407</v>
      </c>
      <c r="AP112" t="s">
        <v>1408</v>
      </c>
      <c r="AQ112" t="s">
        <v>74</v>
      </c>
      <c r="AR112" t="s">
        <v>1409</v>
      </c>
      <c r="AS112" t="s">
        <v>1410</v>
      </c>
      <c r="AT112" t="s">
        <v>74</v>
      </c>
      <c r="AU112">
        <v>2003</v>
      </c>
      <c r="AV112">
        <v>50</v>
      </c>
      <c r="AW112" t="s">
        <v>1424</v>
      </c>
      <c r="AX112" t="s">
        <v>74</v>
      </c>
      <c r="AY112" t="s">
        <v>74</v>
      </c>
      <c r="AZ112" t="s">
        <v>74</v>
      </c>
      <c r="BA112" t="s">
        <v>74</v>
      </c>
      <c r="BB112">
        <v>739</v>
      </c>
      <c r="BC112">
        <v>768</v>
      </c>
      <c r="BD112" t="s">
        <v>1519</v>
      </c>
      <c r="BE112" t="s">
        <v>1520</v>
      </c>
      <c r="BF112" t="str">
        <f>HYPERLINK("http://dx.doi.org/10.1016/S0967-0645(02)00593-3","http://dx.doi.org/10.1016/S0967-0645(02)00593-3")</f>
        <v>http://dx.doi.org/10.1016/S0967-0645(02)00593-3</v>
      </c>
      <c r="BG112" t="s">
        <v>74</v>
      </c>
      <c r="BH112" t="s">
        <v>74</v>
      </c>
      <c r="BI112">
        <v>30</v>
      </c>
      <c r="BJ112" t="s">
        <v>1394</v>
      </c>
      <c r="BK112" t="s">
        <v>569</v>
      </c>
      <c r="BL112" t="s">
        <v>1394</v>
      </c>
      <c r="BM112" t="s">
        <v>1426</v>
      </c>
      <c r="BN112" t="s">
        <v>74</v>
      </c>
      <c r="BO112" t="s">
        <v>74</v>
      </c>
      <c r="BP112" t="s">
        <v>74</v>
      </c>
      <c r="BQ112" t="s">
        <v>74</v>
      </c>
      <c r="BR112" t="s">
        <v>98</v>
      </c>
      <c r="BS112" t="s">
        <v>1521</v>
      </c>
      <c r="BT112" t="str">
        <f>HYPERLINK("https%3A%2F%2Fwww.webofscience.com%2Fwos%2Fwoscc%2Ffull-record%2FWOS:000181922700012","View Full Record in Web of Science")</f>
        <v>View Full Record in Web of Science</v>
      </c>
    </row>
    <row r="113" spans="1:72" x14ac:dyDescent="0.15">
      <c r="A113" t="s">
        <v>552</v>
      </c>
      <c r="B113" t="s">
        <v>1522</v>
      </c>
      <c r="C113" t="s">
        <v>74</v>
      </c>
      <c r="D113" t="s">
        <v>74</v>
      </c>
      <c r="E113" t="s">
        <v>74</v>
      </c>
      <c r="F113" t="s">
        <v>1522</v>
      </c>
      <c r="G113" t="s">
        <v>74</v>
      </c>
      <c r="H113" t="s">
        <v>74</v>
      </c>
      <c r="I113" t="s">
        <v>1523</v>
      </c>
      <c r="J113" t="s">
        <v>1399</v>
      </c>
      <c r="K113" t="s">
        <v>74</v>
      </c>
      <c r="L113" t="s">
        <v>74</v>
      </c>
      <c r="M113" t="s">
        <v>78</v>
      </c>
      <c r="N113" t="s">
        <v>775</v>
      </c>
      <c r="O113" t="s">
        <v>74</v>
      </c>
      <c r="P113" t="s">
        <v>74</v>
      </c>
      <c r="Q113" t="s">
        <v>74</v>
      </c>
      <c r="R113" t="s">
        <v>74</v>
      </c>
      <c r="S113" t="s">
        <v>74</v>
      </c>
      <c r="T113" t="s">
        <v>74</v>
      </c>
      <c r="U113" t="s">
        <v>1524</v>
      </c>
      <c r="V113" t="s">
        <v>1525</v>
      </c>
      <c r="W113" t="s">
        <v>1526</v>
      </c>
      <c r="X113" t="s">
        <v>1527</v>
      </c>
      <c r="Y113" t="s">
        <v>1528</v>
      </c>
      <c r="Z113" t="s">
        <v>1529</v>
      </c>
      <c r="AA113" t="s">
        <v>1530</v>
      </c>
      <c r="AB113" t="s">
        <v>1531</v>
      </c>
      <c r="AC113" t="s">
        <v>74</v>
      </c>
      <c r="AD113" t="s">
        <v>74</v>
      </c>
      <c r="AE113" t="s">
        <v>74</v>
      </c>
      <c r="AF113" t="s">
        <v>74</v>
      </c>
      <c r="AG113">
        <v>87</v>
      </c>
      <c r="AH113">
        <v>15</v>
      </c>
      <c r="AI113">
        <v>17</v>
      </c>
      <c r="AJ113">
        <v>0</v>
      </c>
      <c r="AK113">
        <v>17</v>
      </c>
      <c r="AL113" t="s">
        <v>806</v>
      </c>
      <c r="AM113" t="s">
        <v>807</v>
      </c>
      <c r="AN113" t="s">
        <v>808</v>
      </c>
      <c r="AO113" t="s">
        <v>1407</v>
      </c>
      <c r="AP113" t="s">
        <v>1408</v>
      </c>
      <c r="AQ113" t="s">
        <v>74</v>
      </c>
      <c r="AR113" t="s">
        <v>1409</v>
      </c>
      <c r="AS113" t="s">
        <v>1410</v>
      </c>
      <c r="AT113" t="s">
        <v>74</v>
      </c>
      <c r="AU113">
        <v>2003</v>
      </c>
      <c r="AV113">
        <v>50</v>
      </c>
      <c r="AW113" t="s">
        <v>1424</v>
      </c>
      <c r="AX113" t="s">
        <v>74</v>
      </c>
      <c r="AY113" t="s">
        <v>74</v>
      </c>
      <c r="AZ113" t="s">
        <v>74</v>
      </c>
      <c r="BA113" t="s">
        <v>74</v>
      </c>
      <c r="BB113">
        <v>769</v>
      </c>
      <c r="BC113">
        <v>798</v>
      </c>
      <c r="BD113" t="s">
        <v>1532</v>
      </c>
      <c r="BE113" t="s">
        <v>1533</v>
      </c>
      <c r="BF113" t="str">
        <f>HYPERLINK("http://dx.doi.org/10.1016/S0967-0645(02)00594-5","http://dx.doi.org/10.1016/S0967-0645(02)00594-5")</f>
        <v>http://dx.doi.org/10.1016/S0967-0645(02)00594-5</v>
      </c>
      <c r="BG113" t="s">
        <v>74</v>
      </c>
      <c r="BH113" t="s">
        <v>74</v>
      </c>
      <c r="BI113">
        <v>30</v>
      </c>
      <c r="BJ113" t="s">
        <v>1394</v>
      </c>
      <c r="BK113" t="s">
        <v>569</v>
      </c>
      <c r="BL113" t="s">
        <v>1394</v>
      </c>
      <c r="BM113" t="s">
        <v>1426</v>
      </c>
      <c r="BN113" t="s">
        <v>74</v>
      </c>
      <c r="BO113" t="s">
        <v>74</v>
      </c>
      <c r="BP113" t="s">
        <v>74</v>
      </c>
      <c r="BQ113" t="s">
        <v>74</v>
      </c>
      <c r="BR113" t="s">
        <v>98</v>
      </c>
      <c r="BS113" t="s">
        <v>1534</v>
      </c>
      <c r="BT113" t="str">
        <f>HYPERLINK("https%3A%2F%2Fwww.webofscience.com%2Fwos%2Fwoscc%2Ffull-record%2FWOS:000181922700013","View Full Record in Web of Science")</f>
        <v>View Full Record in Web of Science</v>
      </c>
    </row>
    <row r="114" spans="1:72" x14ac:dyDescent="0.15">
      <c r="A114" t="s">
        <v>552</v>
      </c>
      <c r="B114" t="s">
        <v>1509</v>
      </c>
      <c r="C114" t="s">
        <v>74</v>
      </c>
      <c r="D114" t="s">
        <v>74</v>
      </c>
      <c r="E114" t="s">
        <v>74</v>
      </c>
      <c r="F114" t="s">
        <v>1509</v>
      </c>
      <c r="G114" t="s">
        <v>74</v>
      </c>
      <c r="H114" t="s">
        <v>74</v>
      </c>
      <c r="I114" t="s">
        <v>1535</v>
      </c>
      <c r="J114" t="s">
        <v>1399</v>
      </c>
      <c r="K114" t="s">
        <v>74</v>
      </c>
      <c r="L114" t="s">
        <v>74</v>
      </c>
      <c r="M114" t="s">
        <v>78</v>
      </c>
      <c r="N114" t="s">
        <v>775</v>
      </c>
      <c r="O114" t="s">
        <v>74</v>
      </c>
      <c r="P114" t="s">
        <v>74</v>
      </c>
      <c r="Q114" t="s">
        <v>74</v>
      </c>
      <c r="R114" t="s">
        <v>74</v>
      </c>
      <c r="S114" t="s">
        <v>74</v>
      </c>
      <c r="T114" t="s">
        <v>74</v>
      </c>
      <c r="U114" t="s">
        <v>1536</v>
      </c>
      <c r="V114" t="s">
        <v>1537</v>
      </c>
      <c r="W114" t="s">
        <v>1538</v>
      </c>
      <c r="X114" t="s">
        <v>1514</v>
      </c>
      <c r="Y114" t="s">
        <v>1539</v>
      </c>
      <c r="Z114" t="s">
        <v>1516</v>
      </c>
      <c r="AA114" t="s">
        <v>1540</v>
      </c>
      <c r="AB114" t="s">
        <v>1541</v>
      </c>
      <c r="AC114" t="s">
        <v>74</v>
      </c>
      <c r="AD114" t="s">
        <v>74</v>
      </c>
      <c r="AE114" t="s">
        <v>74</v>
      </c>
      <c r="AF114" t="s">
        <v>74</v>
      </c>
      <c r="AG114">
        <v>86</v>
      </c>
      <c r="AH114">
        <v>127</v>
      </c>
      <c r="AI114">
        <v>139</v>
      </c>
      <c r="AJ114">
        <v>0</v>
      </c>
      <c r="AK114">
        <v>46</v>
      </c>
      <c r="AL114" t="s">
        <v>806</v>
      </c>
      <c r="AM114" t="s">
        <v>807</v>
      </c>
      <c r="AN114" t="s">
        <v>808</v>
      </c>
      <c r="AO114" t="s">
        <v>1407</v>
      </c>
      <c r="AP114" t="s">
        <v>1408</v>
      </c>
      <c r="AQ114" t="s">
        <v>74</v>
      </c>
      <c r="AR114" t="s">
        <v>1409</v>
      </c>
      <c r="AS114" t="s">
        <v>1410</v>
      </c>
      <c r="AT114" t="s">
        <v>74</v>
      </c>
      <c r="AU114">
        <v>2003</v>
      </c>
      <c r="AV114">
        <v>50</v>
      </c>
      <c r="AW114" t="s">
        <v>1424</v>
      </c>
      <c r="AX114" t="s">
        <v>74</v>
      </c>
      <c r="AY114" t="s">
        <v>74</v>
      </c>
      <c r="AZ114" t="s">
        <v>74</v>
      </c>
      <c r="BA114" t="s">
        <v>74</v>
      </c>
      <c r="BB114">
        <v>799</v>
      </c>
      <c r="BC114">
        <v>832</v>
      </c>
      <c r="BD114" t="s">
        <v>1542</v>
      </c>
      <c r="BE114" t="s">
        <v>1543</v>
      </c>
      <c r="BF114" t="str">
        <f>HYPERLINK("http://dx.doi.org/10.1016/S0967-0645(02)00595-7","http://dx.doi.org/10.1016/S0967-0645(02)00595-7")</f>
        <v>http://dx.doi.org/10.1016/S0967-0645(02)00595-7</v>
      </c>
      <c r="BG114" t="s">
        <v>74</v>
      </c>
      <c r="BH114" t="s">
        <v>74</v>
      </c>
      <c r="BI114">
        <v>34</v>
      </c>
      <c r="BJ114" t="s">
        <v>1394</v>
      </c>
      <c r="BK114" t="s">
        <v>569</v>
      </c>
      <c r="BL114" t="s">
        <v>1394</v>
      </c>
      <c r="BM114" t="s">
        <v>1426</v>
      </c>
      <c r="BN114" t="s">
        <v>74</v>
      </c>
      <c r="BO114" t="s">
        <v>74</v>
      </c>
      <c r="BP114" t="s">
        <v>74</v>
      </c>
      <c r="BQ114" t="s">
        <v>74</v>
      </c>
      <c r="BR114" t="s">
        <v>98</v>
      </c>
      <c r="BS114" t="s">
        <v>1544</v>
      </c>
      <c r="BT114" t="str">
        <f>HYPERLINK("https%3A%2F%2Fwww.webofscience.com%2Fwos%2Fwoscc%2Ffull-record%2FWOS:000181922700014","View Full Record in Web of Science")</f>
        <v>View Full Record in Web of Science</v>
      </c>
    </row>
    <row r="115" spans="1:72" x14ac:dyDescent="0.15">
      <c r="A115" t="s">
        <v>552</v>
      </c>
      <c r="B115" t="s">
        <v>1545</v>
      </c>
      <c r="C115" t="s">
        <v>74</v>
      </c>
      <c r="D115" t="s">
        <v>74</v>
      </c>
      <c r="E115" t="s">
        <v>74</v>
      </c>
      <c r="F115" t="s">
        <v>1545</v>
      </c>
      <c r="G115" t="s">
        <v>74</v>
      </c>
      <c r="H115" t="s">
        <v>74</v>
      </c>
      <c r="I115" t="s">
        <v>1546</v>
      </c>
      <c r="J115" t="s">
        <v>1399</v>
      </c>
      <c r="K115" t="s">
        <v>74</v>
      </c>
      <c r="L115" t="s">
        <v>74</v>
      </c>
      <c r="M115" t="s">
        <v>78</v>
      </c>
      <c r="N115" t="s">
        <v>556</v>
      </c>
      <c r="O115" t="s">
        <v>74</v>
      </c>
      <c r="P115" t="s">
        <v>74</v>
      </c>
      <c r="Q115" t="s">
        <v>74</v>
      </c>
      <c r="R115" t="s">
        <v>74</v>
      </c>
      <c r="S115" t="s">
        <v>74</v>
      </c>
      <c r="T115" t="s">
        <v>74</v>
      </c>
      <c r="U115" t="s">
        <v>74</v>
      </c>
      <c r="V115" t="s">
        <v>74</v>
      </c>
      <c r="W115" t="s">
        <v>1547</v>
      </c>
      <c r="X115" t="s">
        <v>1548</v>
      </c>
      <c r="Y115" t="s">
        <v>1549</v>
      </c>
      <c r="Z115" t="s">
        <v>74</v>
      </c>
      <c r="AA115" t="s">
        <v>1550</v>
      </c>
      <c r="AB115" t="s">
        <v>1551</v>
      </c>
      <c r="AC115" t="s">
        <v>74</v>
      </c>
      <c r="AD115" t="s">
        <v>74</v>
      </c>
      <c r="AE115" t="s">
        <v>74</v>
      </c>
      <c r="AF115" t="s">
        <v>74</v>
      </c>
      <c r="AG115">
        <v>0</v>
      </c>
      <c r="AH115">
        <v>1</v>
      </c>
      <c r="AI115">
        <v>2</v>
      </c>
      <c r="AJ115">
        <v>0</v>
      </c>
      <c r="AK115">
        <v>0</v>
      </c>
      <c r="AL115" t="s">
        <v>806</v>
      </c>
      <c r="AM115" t="s">
        <v>807</v>
      </c>
      <c r="AN115" t="s">
        <v>808</v>
      </c>
      <c r="AO115" t="s">
        <v>1407</v>
      </c>
      <c r="AP115" t="s">
        <v>74</v>
      </c>
      <c r="AQ115" t="s">
        <v>74</v>
      </c>
      <c r="AR115" t="s">
        <v>1409</v>
      </c>
      <c r="AS115" t="s">
        <v>1410</v>
      </c>
      <c r="AT115" t="s">
        <v>74</v>
      </c>
      <c r="AU115">
        <v>2003</v>
      </c>
      <c r="AV115">
        <v>50</v>
      </c>
      <c r="AW115" t="s">
        <v>1552</v>
      </c>
      <c r="AX115" t="s">
        <v>74</v>
      </c>
      <c r="AY115" t="s">
        <v>74</v>
      </c>
      <c r="AZ115" t="s">
        <v>74</v>
      </c>
      <c r="BA115" t="s">
        <v>74</v>
      </c>
      <c r="BB115">
        <v>1335</v>
      </c>
      <c r="BC115">
        <v>1336</v>
      </c>
      <c r="BD115" t="s">
        <v>74</v>
      </c>
      <c r="BE115" t="s">
        <v>1553</v>
      </c>
      <c r="BF115" t="str">
        <f>HYPERLINK("http://dx.doi.org/10.1016/S0967-0645(03)00067-5","http://dx.doi.org/10.1016/S0967-0645(03)00067-5")</f>
        <v>http://dx.doi.org/10.1016/S0967-0645(03)00067-5</v>
      </c>
      <c r="BG115" t="s">
        <v>74</v>
      </c>
      <c r="BH115" t="s">
        <v>74</v>
      </c>
      <c r="BI115">
        <v>2</v>
      </c>
      <c r="BJ115" t="s">
        <v>1394</v>
      </c>
      <c r="BK115" t="s">
        <v>569</v>
      </c>
      <c r="BL115" t="s">
        <v>1394</v>
      </c>
      <c r="BM115" t="s">
        <v>1554</v>
      </c>
      <c r="BN115" t="s">
        <v>74</v>
      </c>
      <c r="BO115" t="s">
        <v>74</v>
      </c>
      <c r="BP115" t="s">
        <v>74</v>
      </c>
      <c r="BQ115" t="s">
        <v>74</v>
      </c>
      <c r="BR115" t="s">
        <v>98</v>
      </c>
      <c r="BS115" t="s">
        <v>1555</v>
      </c>
      <c r="BT115" t="str">
        <f>HYPERLINK("https%3A%2F%2Fwww.webofscience.com%2Fwos%2Fwoscc%2Ffull-record%2FWOS:000183867600001","View Full Record in Web of Science")</f>
        <v>View Full Record in Web of Science</v>
      </c>
    </row>
    <row r="116" spans="1:72" x14ac:dyDescent="0.15">
      <c r="A116" t="s">
        <v>552</v>
      </c>
      <c r="B116" t="s">
        <v>1556</v>
      </c>
      <c r="C116" t="s">
        <v>74</v>
      </c>
      <c r="D116" t="s">
        <v>74</v>
      </c>
      <c r="E116" t="s">
        <v>74</v>
      </c>
      <c r="F116" t="s">
        <v>1556</v>
      </c>
      <c r="G116" t="s">
        <v>74</v>
      </c>
      <c r="H116" t="s">
        <v>74</v>
      </c>
      <c r="I116" t="s">
        <v>1557</v>
      </c>
      <c r="J116" t="s">
        <v>1399</v>
      </c>
      <c r="K116" t="s">
        <v>74</v>
      </c>
      <c r="L116" t="s">
        <v>74</v>
      </c>
      <c r="M116" t="s">
        <v>78</v>
      </c>
      <c r="N116" t="s">
        <v>775</v>
      </c>
      <c r="O116" t="s">
        <v>74</v>
      </c>
      <c r="P116" t="s">
        <v>74</v>
      </c>
      <c r="Q116" t="s">
        <v>74</v>
      </c>
      <c r="R116" t="s">
        <v>74</v>
      </c>
      <c r="S116" t="s">
        <v>74</v>
      </c>
      <c r="T116" t="s">
        <v>74</v>
      </c>
      <c r="U116" t="s">
        <v>1558</v>
      </c>
      <c r="V116" t="s">
        <v>74</v>
      </c>
      <c r="W116" t="s">
        <v>1559</v>
      </c>
      <c r="X116" t="s">
        <v>1560</v>
      </c>
      <c r="Y116" t="s">
        <v>1561</v>
      </c>
      <c r="Z116" t="s">
        <v>74</v>
      </c>
      <c r="AA116" t="s">
        <v>1562</v>
      </c>
      <c r="AB116" t="s">
        <v>74</v>
      </c>
      <c r="AC116" t="s">
        <v>74</v>
      </c>
      <c r="AD116" t="s">
        <v>74</v>
      </c>
      <c r="AE116" t="s">
        <v>74</v>
      </c>
      <c r="AF116" t="s">
        <v>74</v>
      </c>
      <c r="AG116">
        <v>11</v>
      </c>
      <c r="AH116">
        <v>12</v>
      </c>
      <c r="AI116">
        <v>12</v>
      </c>
      <c r="AJ116">
        <v>0</v>
      </c>
      <c r="AK116">
        <v>0</v>
      </c>
      <c r="AL116" t="s">
        <v>806</v>
      </c>
      <c r="AM116" t="s">
        <v>807</v>
      </c>
      <c r="AN116" t="s">
        <v>808</v>
      </c>
      <c r="AO116" t="s">
        <v>1407</v>
      </c>
      <c r="AP116" t="s">
        <v>74</v>
      </c>
      <c r="AQ116" t="s">
        <v>74</v>
      </c>
      <c r="AR116" t="s">
        <v>1409</v>
      </c>
      <c r="AS116" t="s">
        <v>1410</v>
      </c>
      <c r="AT116" t="s">
        <v>74</v>
      </c>
      <c r="AU116">
        <v>2003</v>
      </c>
      <c r="AV116">
        <v>50</v>
      </c>
      <c r="AW116" t="s">
        <v>1552</v>
      </c>
      <c r="AX116" t="s">
        <v>74</v>
      </c>
      <c r="AY116" t="s">
        <v>74</v>
      </c>
      <c r="AZ116" t="s">
        <v>74</v>
      </c>
      <c r="BA116" t="s">
        <v>74</v>
      </c>
      <c r="BB116">
        <v>1337</v>
      </c>
      <c r="BC116">
        <v>1341</v>
      </c>
      <c r="BD116" t="s">
        <v>74</v>
      </c>
      <c r="BE116" t="s">
        <v>1563</v>
      </c>
      <c r="BF116" t="str">
        <f>HYPERLINK("http://dx.doi.org/10.1016/S0967-0645(03)00069-9","http://dx.doi.org/10.1016/S0967-0645(03)00069-9")</f>
        <v>http://dx.doi.org/10.1016/S0967-0645(03)00069-9</v>
      </c>
      <c r="BG116" t="s">
        <v>74</v>
      </c>
      <c r="BH116" t="s">
        <v>74</v>
      </c>
      <c r="BI116">
        <v>5</v>
      </c>
      <c r="BJ116" t="s">
        <v>1394</v>
      </c>
      <c r="BK116" t="s">
        <v>569</v>
      </c>
      <c r="BL116" t="s">
        <v>1394</v>
      </c>
      <c r="BM116" t="s">
        <v>1554</v>
      </c>
      <c r="BN116" t="s">
        <v>74</v>
      </c>
      <c r="BO116" t="s">
        <v>74</v>
      </c>
      <c r="BP116" t="s">
        <v>74</v>
      </c>
      <c r="BQ116" t="s">
        <v>74</v>
      </c>
      <c r="BR116" t="s">
        <v>98</v>
      </c>
      <c r="BS116" t="s">
        <v>1564</v>
      </c>
      <c r="BT116" t="str">
        <f>HYPERLINK("https%3A%2F%2Fwww.webofscience.com%2Fwos%2Fwoscc%2Ffull-record%2FWOS:000183867600002","View Full Record in Web of Science")</f>
        <v>View Full Record in Web of Science</v>
      </c>
    </row>
    <row r="117" spans="1:72" x14ac:dyDescent="0.15">
      <c r="A117" t="s">
        <v>552</v>
      </c>
      <c r="B117" t="s">
        <v>1565</v>
      </c>
      <c r="C117" t="s">
        <v>74</v>
      </c>
      <c r="D117" t="s">
        <v>74</v>
      </c>
      <c r="E117" t="s">
        <v>74</v>
      </c>
      <c r="F117" t="s">
        <v>1565</v>
      </c>
      <c r="G117" t="s">
        <v>74</v>
      </c>
      <c r="H117" t="s">
        <v>74</v>
      </c>
      <c r="I117" t="s">
        <v>1566</v>
      </c>
      <c r="J117" t="s">
        <v>1399</v>
      </c>
      <c r="K117" t="s">
        <v>74</v>
      </c>
      <c r="L117" t="s">
        <v>74</v>
      </c>
      <c r="M117" t="s">
        <v>78</v>
      </c>
      <c r="N117" t="s">
        <v>775</v>
      </c>
      <c r="O117" t="s">
        <v>74</v>
      </c>
      <c r="P117" t="s">
        <v>74</v>
      </c>
      <c r="Q117" t="s">
        <v>74</v>
      </c>
      <c r="R117" t="s">
        <v>74</v>
      </c>
      <c r="S117" t="s">
        <v>74</v>
      </c>
      <c r="T117" t="s">
        <v>74</v>
      </c>
      <c r="U117" t="s">
        <v>1567</v>
      </c>
      <c r="V117" t="s">
        <v>1568</v>
      </c>
      <c r="W117" t="s">
        <v>1569</v>
      </c>
      <c r="X117" t="s">
        <v>1570</v>
      </c>
      <c r="Y117" t="s">
        <v>1571</v>
      </c>
      <c r="Z117" t="s">
        <v>74</v>
      </c>
      <c r="AA117" t="s">
        <v>1572</v>
      </c>
      <c r="AB117" t="s">
        <v>74</v>
      </c>
      <c r="AC117" t="s">
        <v>74</v>
      </c>
      <c r="AD117" t="s">
        <v>74</v>
      </c>
      <c r="AE117" t="s">
        <v>74</v>
      </c>
      <c r="AF117" t="s">
        <v>74</v>
      </c>
      <c r="AG117">
        <v>30</v>
      </c>
      <c r="AH117">
        <v>27</v>
      </c>
      <c r="AI117">
        <v>31</v>
      </c>
      <c r="AJ117">
        <v>0</v>
      </c>
      <c r="AK117">
        <v>2</v>
      </c>
      <c r="AL117" t="s">
        <v>806</v>
      </c>
      <c r="AM117" t="s">
        <v>807</v>
      </c>
      <c r="AN117" t="s">
        <v>808</v>
      </c>
      <c r="AO117" t="s">
        <v>1407</v>
      </c>
      <c r="AP117" t="s">
        <v>74</v>
      </c>
      <c r="AQ117" t="s">
        <v>74</v>
      </c>
      <c r="AR117" t="s">
        <v>1409</v>
      </c>
      <c r="AS117" t="s">
        <v>1410</v>
      </c>
      <c r="AT117" t="s">
        <v>74</v>
      </c>
      <c r="AU117">
        <v>2003</v>
      </c>
      <c r="AV117">
        <v>50</v>
      </c>
      <c r="AW117" t="s">
        <v>1552</v>
      </c>
      <c r="AX117" t="s">
        <v>74</v>
      </c>
      <c r="AY117" t="s">
        <v>74</v>
      </c>
      <c r="AZ117" t="s">
        <v>74</v>
      </c>
      <c r="BA117" t="s">
        <v>74</v>
      </c>
      <c r="BB117">
        <v>1343</v>
      </c>
      <c r="BC117">
        <v>1355</v>
      </c>
      <c r="BD117" t="s">
        <v>74</v>
      </c>
      <c r="BE117" t="s">
        <v>1573</v>
      </c>
      <c r="BF117" t="str">
        <f>HYPERLINK("http://dx.doi.org/10.1016/S0967-0645(03)00071-7","http://dx.doi.org/10.1016/S0967-0645(03)00071-7")</f>
        <v>http://dx.doi.org/10.1016/S0967-0645(03)00071-7</v>
      </c>
      <c r="BG117" t="s">
        <v>74</v>
      </c>
      <c r="BH117" t="s">
        <v>74</v>
      </c>
      <c r="BI117">
        <v>13</v>
      </c>
      <c r="BJ117" t="s">
        <v>1394</v>
      </c>
      <c r="BK117" t="s">
        <v>569</v>
      </c>
      <c r="BL117" t="s">
        <v>1394</v>
      </c>
      <c r="BM117" t="s">
        <v>1554</v>
      </c>
      <c r="BN117" t="s">
        <v>74</v>
      </c>
      <c r="BO117" t="s">
        <v>1574</v>
      </c>
      <c r="BP117" t="s">
        <v>74</v>
      </c>
      <c r="BQ117" t="s">
        <v>74</v>
      </c>
      <c r="BR117" t="s">
        <v>98</v>
      </c>
      <c r="BS117" t="s">
        <v>1575</v>
      </c>
      <c r="BT117" t="str">
        <f>HYPERLINK("https%3A%2F%2Fwww.webofscience.com%2Fwos%2Fwoscc%2Ffull-record%2FWOS:000183867600003","View Full Record in Web of Science")</f>
        <v>View Full Record in Web of Science</v>
      </c>
    </row>
    <row r="118" spans="1:72" x14ac:dyDescent="0.15">
      <c r="A118" t="s">
        <v>552</v>
      </c>
      <c r="B118" t="s">
        <v>1576</v>
      </c>
      <c r="C118" t="s">
        <v>74</v>
      </c>
      <c r="D118" t="s">
        <v>74</v>
      </c>
      <c r="E118" t="s">
        <v>74</v>
      </c>
      <c r="F118" t="s">
        <v>1576</v>
      </c>
      <c r="G118" t="s">
        <v>74</v>
      </c>
      <c r="H118" t="s">
        <v>74</v>
      </c>
      <c r="I118" t="s">
        <v>1577</v>
      </c>
      <c r="J118" t="s">
        <v>1399</v>
      </c>
      <c r="K118" t="s">
        <v>74</v>
      </c>
      <c r="L118" t="s">
        <v>74</v>
      </c>
      <c r="M118" t="s">
        <v>78</v>
      </c>
      <c r="N118" t="s">
        <v>775</v>
      </c>
      <c r="O118" t="s">
        <v>74</v>
      </c>
      <c r="P118" t="s">
        <v>74</v>
      </c>
      <c r="Q118" t="s">
        <v>74</v>
      </c>
      <c r="R118" t="s">
        <v>74</v>
      </c>
      <c r="S118" t="s">
        <v>74</v>
      </c>
      <c r="T118" t="s">
        <v>74</v>
      </c>
      <c r="U118" t="s">
        <v>1578</v>
      </c>
      <c r="V118" t="s">
        <v>1579</v>
      </c>
      <c r="W118" t="s">
        <v>1580</v>
      </c>
      <c r="X118" t="s">
        <v>302</v>
      </c>
      <c r="Y118" t="s">
        <v>1581</v>
      </c>
      <c r="Z118" t="s">
        <v>1582</v>
      </c>
      <c r="AA118" t="s">
        <v>1583</v>
      </c>
      <c r="AB118" t="s">
        <v>1584</v>
      </c>
      <c r="AC118" t="s">
        <v>74</v>
      </c>
      <c r="AD118" t="s">
        <v>74</v>
      </c>
      <c r="AE118" t="s">
        <v>74</v>
      </c>
      <c r="AF118" t="s">
        <v>74</v>
      </c>
      <c r="AG118">
        <v>45</v>
      </c>
      <c r="AH118">
        <v>18</v>
      </c>
      <c r="AI118">
        <v>22</v>
      </c>
      <c r="AJ118">
        <v>0</v>
      </c>
      <c r="AK118">
        <v>6</v>
      </c>
      <c r="AL118" t="s">
        <v>806</v>
      </c>
      <c r="AM118" t="s">
        <v>807</v>
      </c>
      <c r="AN118" t="s">
        <v>808</v>
      </c>
      <c r="AO118" t="s">
        <v>1407</v>
      </c>
      <c r="AP118" t="s">
        <v>1408</v>
      </c>
      <c r="AQ118" t="s">
        <v>74</v>
      </c>
      <c r="AR118" t="s">
        <v>1409</v>
      </c>
      <c r="AS118" t="s">
        <v>1410</v>
      </c>
      <c r="AT118" t="s">
        <v>74</v>
      </c>
      <c r="AU118">
        <v>2003</v>
      </c>
      <c r="AV118">
        <v>50</v>
      </c>
      <c r="AW118" t="s">
        <v>1552</v>
      </c>
      <c r="AX118" t="s">
        <v>74</v>
      </c>
      <c r="AY118" t="s">
        <v>74</v>
      </c>
      <c r="AZ118" t="s">
        <v>74</v>
      </c>
      <c r="BA118" t="s">
        <v>74</v>
      </c>
      <c r="BB118">
        <v>1357</v>
      </c>
      <c r="BC118">
        <v>1372</v>
      </c>
      <c r="BD118" t="s">
        <v>74</v>
      </c>
      <c r="BE118" t="s">
        <v>1585</v>
      </c>
      <c r="BF118" t="str">
        <f>HYPERLINK("http://dx.doi.org/10.1016/S0967-0645(03)00072-9","http://dx.doi.org/10.1016/S0967-0645(03)00072-9")</f>
        <v>http://dx.doi.org/10.1016/S0967-0645(03)00072-9</v>
      </c>
      <c r="BG118" t="s">
        <v>74</v>
      </c>
      <c r="BH118" t="s">
        <v>74</v>
      </c>
      <c r="BI118">
        <v>16</v>
      </c>
      <c r="BJ118" t="s">
        <v>1394</v>
      </c>
      <c r="BK118" t="s">
        <v>569</v>
      </c>
      <c r="BL118" t="s">
        <v>1394</v>
      </c>
      <c r="BM118" t="s">
        <v>1554</v>
      </c>
      <c r="BN118" t="s">
        <v>74</v>
      </c>
      <c r="BO118" t="s">
        <v>74</v>
      </c>
      <c r="BP118" t="s">
        <v>74</v>
      </c>
      <c r="BQ118" t="s">
        <v>74</v>
      </c>
      <c r="BR118" t="s">
        <v>98</v>
      </c>
      <c r="BS118" t="s">
        <v>1586</v>
      </c>
      <c r="BT118" t="str">
        <f>HYPERLINK("https%3A%2F%2Fwww.webofscience.com%2Fwos%2Fwoscc%2Ffull-record%2FWOS:000183867600004","View Full Record in Web of Science")</f>
        <v>View Full Record in Web of Science</v>
      </c>
    </row>
    <row r="119" spans="1:72" x14ac:dyDescent="0.15">
      <c r="A119" t="s">
        <v>552</v>
      </c>
      <c r="B119" t="s">
        <v>1587</v>
      </c>
      <c r="C119" t="s">
        <v>74</v>
      </c>
      <c r="D119" t="s">
        <v>74</v>
      </c>
      <c r="E119" t="s">
        <v>74</v>
      </c>
      <c r="F119" t="s">
        <v>1587</v>
      </c>
      <c r="G119" t="s">
        <v>74</v>
      </c>
      <c r="H119" t="s">
        <v>74</v>
      </c>
      <c r="I119" t="s">
        <v>1588</v>
      </c>
      <c r="J119" t="s">
        <v>1399</v>
      </c>
      <c r="K119" t="s">
        <v>74</v>
      </c>
      <c r="L119" t="s">
        <v>74</v>
      </c>
      <c r="M119" t="s">
        <v>78</v>
      </c>
      <c r="N119" t="s">
        <v>775</v>
      </c>
      <c r="O119" t="s">
        <v>74</v>
      </c>
      <c r="P119" t="s">
        <v>74</v>
      </c>
      <c r="Q119" t="s">
        <v>74</v>
      </c>
      <c r="R119" t="s">
        <v>74</v>
      </c>
      <c r="S119" t="s">
        <v>74</v>
      </c>
      <c r="T119" t="s">
        <v>74</v>
      </c>
      <c r="U119" t="s">
        <v>1589</v>
      </c>
      <c r="V119" t="s">
        <v>1590</v>
      </c>
      <c r="W119" t="s">
        <v>1591</v>
      </c>
      <c r="X119" t="s">
        <v>1592</v>
      </c>
      <c r="Y119" t="s">
        <v>1593</v>
      </c>
      <c r="Z119" t="s">
        <v>74</v>
      </c>
      <c r="AA119" t="s">
        <v>1594</v>
      </c>
      <c r="AB119" t="s">
        <v>1595</v>
      </c>
      <c r="AC119" t="s">
        <v>74</v>
      </c>
      <c r="AD119" t="s">
        <v>74</v>
      </c>
      <c r="AE119" t="s">
        <v>74</v>
      </c>
      <c r="AF119" t="s">
        <v>74</v>
      </c>
      <c r="AG119">
        <v>33</v>
      </c>
      <c r="AH119">
        <v>69</v>
      </c>
      <c r="AI119">
        <v>73</v>
      </c>
      <c r="AJ119">
        <v>0</v>
      </c>
      <c r="AK119">
        <v>5</v>
      </c>
      <c r="AL119" t="s">
        <v>806</v>
      </c>
      <c r="AM119" t="s">
        <v>807</v>
      </c>
      <c r="AN119" t="s">
        <v>808</v>
      </c>
      <c r="AO119" t="s">
        <v>1407</v>
      </c>
      <c r="AP119" t="s">
        <v>74</v>
      </c>
      <c r="AQ119" t="s">
        <v>74</v>
      </c>
      <c r="AR119" t="s">
        <v>1409</v>
      </c>
      <c r="AS119" t="s">
        <v>1410</v>
      </c>
      <c r="AT119" t="s">
        <v>74</v>
      </c>
      <c r="AU119">
        <v>2003</v>
      </c>
      <c r="AV119">
        <v>50</v>
      </c>
      <c r="AW119" t="s">
        <v>1552</v>
      </c>
      <c r="AX119" t="s">
        <v>74</v>
      </c>
      <c r="AY119" t="s">
        <v>74</v>
      </c>
      <c r="AZ119" t="s">
        <v>74</v>
      </c>
      <c r="BA119" t="s">
        <v>74</v>
      </c>
      <c r="BB119">
        <v>1373</v>
      </c>
      <c r="BC119">
        <v>1392</v>
      </c>
      <c r="BD119" t="s">
        <v>74</v>
      </c>
      <c r="BE119" t="s">
        <v>1596</v>
      </c>
      <c r="BF119" t="str">
        <f>HYPERLINK("http://dx.doi.org/10.1016/S0967-0645(03)00074-2","http://dx.doi.org/10.1016/S0967-0645(03)00074-2")</f>
        <v>http://dx.doi.org/10.1016/S0967-0645(03)00074-2</v>
      </c>
      <c r="BG119" t="s">
        <v>74</v>
      </c>
      <c r="BH119" t="s">
        <v>74</v>
      </c>
      <c r="BI119">
        <v>20</v>
      </c>
      <c r="BJ119" t="s">
        <v>1394</v>
      </c>
      <c r="BK119" t="s">
        <v>569</v>
      </c>
      <c r="BL119" t="s">
        <v>1394</v>
      </c>
      <c r="BM119" t="s">
        <v>1554</v>
      </c>
      <c r="BN119" t="s">
        <v>74</v>
      </c>
      <c r="BO119" t="s">
        <v>74</v>
      </c>
      <c r="BP119" t="s">
        <v>74</v>
      </c>
      <c r="BQ119" t="s">
        <v>74</v>
      </c>
      <c r="BR119" t="s">
        <v>98</v>
      </c>
      <c r="BS119" t="s">
        <v>1597</v>
      </c>
      <c r="BT119" t="str">
        <f>HYPERLINK("https%3A%2F%2Fwww.webofscience.com%2Fwos%2Fwoscc%2Ffull-record%2FWOS:000183867600005","View Full Record in Web of Science")</f>
        <v>View Full Record in Web of Science</v>
      </c>
    </row>
    <row r="120" spans="1:72" x14ac:dyDescent="0.15">
      <c r="A120" t="s">
        <v>552</v>
      </c>
      <c r="B120" t="s">
        <v>1598</v>
      </c>
      <c r="C120" t="s">
        <v>74</v>
      </c>
      <c r="D120" t="s">
        <v>74</v>
      </c>
      <c r="E120" t="s">
        <v>74</v>
      </c>
      <c r="F120" t="s">
        <v>1598</v>
      </c>
      <c r="G120" t="s">
        <v>74</v>
      </c>
      <c r="H120" t="s">
        <v>74</v>
      </c>
      <c r="I120" t="s">
        <v>1599</v>
      </c>
      <c r="J120" t="s">
        <v>1399</v>
      </c>
      <c r="K120" t="s">
        <v>74</v>
      </c>
      <c r="L120" t="s">
        <v>74</v>
      </c>
      <c r="M120" t="s">
        <v>78</v>
      </c>
      <c r="N120" t="s">
        <v>775</v>
      </c>
      <c r="O120" t="s">
        <v>74</v>
      </c>
      <c r="P120" t="s">
        <v>74</v>
      </c>
      <c r="Q120" t="s">
        <v>74</v>
      </c>
      <c r="R120" t="s">
        <v>74</v>
      </c>
      <c r="S120" t="s">
        <v>74</v>
      </c>
      <c r="T120" t="s">
        <v>74</v>
      </c>
      <c r="U120" t="s">
        <v>1600</v>
      </c>
      <c r="V120" t="s">
        <v>1601</v>
      </c>
      <c r="W120" t="s">
        <v>1602</v>
      </c>
      <c r="X120" t="s">
        <v>1603</v>
      </c>
      <c r="Y120" t="s">
        <v>1604</v>
      </c>
      <c r="Z120" t="s">
        <v>1605</v>
      </c>
      <c r="AA120" t="s">
        <v>1606</v>
      </c>
      <c r="AB120" t="s">
        <v>1607</v>
      </c>
      <c r="AC120" t="s">
        <v>74</v>
      </c>
      <c r="AD120" t="s">
        <v>74</v>
      </c>
      <c r="AE120" t="s">
        <v>74</v>
      </c>
      <c r="AF120" t="s">
        <v>74</v>
      </c>
      <c r="AG120">
        <v>76</v>
      </c>
      <c r="AH120">
        <v>51</v>
      </c>
      <c r="AI120">
        <v>54</v>
      </c>
      <c r="AJ120">
        <v>0</v>
      </c>
      <c r="AK120">
        <v>11</v>
      </c>
      <c r="AL120" t="s">
        <v>806</v>
      </c>
      <c r="AM120" t="s">
        <v>807</v>
      </c>
      <c r="AN120" t="s">
        <v>808</v>
      </c>
      <c r="AO120" t="s">
        <v>1407</v>
      </c>
      <c r="AP120" t="s">
        <v>1408</v>
      </c>
      <c r="AQ120" t="s">
        <v>74</v>
      </c>
      <c r="AR120" t="s">
        <v>1409</v>
      </c>
      <c r="AS120" t="s">
        <v>1410</v>
      </c>
      <c r="AT120" t="s">
        <v>74</v>
      </c>
      <c r="AU120">
        <v>2003</v>
      </c>
      <c r="AV120">
        <v>50</v>
      </c>
      <c r="AW120" t="s">
        <v>1552</v>
      </c>
      <c r="AX120" t="s">
        <v>74</v>
      </c>
      <c r="AY120" t="s">
        <v>74</v>
      </c>
      <c r="AZ120" t="s">
        <v>74</v>
      </c>
      <c r="BA120" t="s">
        <v>74</v>
      </c>
      <c r="BB120">
        <v>1393</v>
      </c>
      <c r="BC120">
        <v>1414</v>
      </c>
      <c r="BD120" t="s">
        <v>74</v>
      </c>
      <c r="BE120" t="s">
        <v>1608</v>
      </c>
      <c r="BF120" t="str">
        <f>HYPERLINK("http://dx.doi.org/10.1016/S0967-0645(03)00076-6","http://dx.doi.org/10.1016/S0967-0645(03)00076-6")</f>
        <v>http://dx.doi.org/10.1016/S0967-0645(03)00076-6</v>
      </c>
      <c r="BG120" t="s">
        <v>74</v>
      </c>
      <c r="BH120" t="s">
        <v>74</v>
      </c>
      <c r="BI120">
        <v>22</v>
      </c>
      <c r="BJ120" t="s">
        <v>1394</v>
      </c>
      <c r="BK120" t="s">
        <v>569</v>
      </c>
      <c r="BL120" t="s">
        <v>1394</v>
      </c>
      <c r="BM120" t="s">
        <v>1554</v>
      </c>
      <c r="BN120" t="s">
        <v>74</v>
      </c>
      <c r="BO120" t="s">
        <v>74</v>
      </c>
      <c r="BP120" t="s">
        <v>74</v>
      </c>
      <c r="BQ120" t="s">
        <v>74</v>
      </c>
      <c r="BR120" t="s">
        <v>98</v>
      </c>
      <c r="BS120" t="s">
        <v>1609</v>
      </c>
      <c r="BT120" t="str">
        <f>HYPERLINK("https%3A%2F%2Fwww.webofscience.com%2Fwos%2Fwoscc%2Ffull-record%2FWOS:000183867600006","View Full Record in Web of Science")</f>
        <v>View Full Record in Web of Science</v>
      </c>
    </row>
    <row r="121" spans="1:72" x14ac:dyDescent="0.15">
      <c r="A121" t="s">
        <v>552</v>
      </c>
      <c r="B121" t="s">
        <v>1610</v>
      </c>
      <c r="C121" t="s">
        <v>74</v>
      </c>
      <c r="D121" t="s">
        <v>74</v>
      </c>
      <c r="E121" t="s">
        <v>74</v>
      </c>
      <c r="F121" t="s">
        <v>1610</v>
      </c>
      <c r="G121" t="s">
        <v>74</v>
      </c>
      <c r="H121" t="s">
        <v>74</v>
      </c>
      <c r="I121" t="s">
        <v>1611</v>
      </c>
      <c r="J121" t="s">
        <v>1399</v>
      </c>
      <c r="K121" t="s">
        <v>74</v>
      </c>
      <c r="L121" t="s">
        <v>74</v>
      </c>
      <c r="M121" t="s">
        <v>78</v>
      </c>
      <c r="N121" t="s">
        <v>775</v>
      </c>
      <c r="O121" t="s">
        <v>74</v>
      </c>
      <c r="P121" t="s">
        <v>74</v>
      </c>
      <c r="Q121" t="s">
        <v>74</v>
      </c>
      <c r="R121" t="s">
        <v>74</v>
      </c>
      <c r="S121" t="s">
        <v>74</v>
      </c>
      <c r="T121" t="s">
        <v>74</v>
      </c>
      <c r="U121" t="s">
        <v>1612</v>
      </c>
      <c r="V121" t="s">
        <v>1613</v>
      </c>
      <c r="W121" t="s">
        <v>1614</v>
      </c>
      <c r="X121" t="s">
        <v>1615</v>
      </c>
      <c r="Y121" t="s">
        <v>1616</v>
      </c>
      <c r="Z121" t="s">
        <v>1617</v>
      </c>
      <c r="AA121" t="s">
        <v>1618</v>
      </c>
      <c r="AB121" t="s">
        <v>1619</v>
      </c>
      <c r="AC121" t="s">
        <v>74</v>
      </c>
      <c r="AD121" t="s">
        <v>74</v>
      </c>
      <c r="AE121" t="s">
        <v>74</v>
      </c>
      <c r="AF121" t="s">
        <v>74</v>
      </c>
      <c r="AG121">
        <v>55</v>
      </c>
      <c r="AH121">
        <v>26</v>
      </c>
      <c r="AI121">
        <v>27</v>
      </c>
      <c r="AJ121">
        <v>0</v>
      </c>
      <c r="AK121">
        <v>9</v>
      </c>
      <c r="AL121" t="s">
        <v>806</v>
      </c>
      <c r="AM121" t="s">
        <v>807</v>
      </c>
      <c r="AN121" t="s">
        <v>808</v>
      </c>
      <c r="AO121" t="s">
        <v>1407</v>
      </c>
      <c r="AP121" t="s">
        <v>1408</v>
      </c>
      <c r="AQ121" t="s">
        <v>74</v>
      </c>
      <c r="AR121" t="s">
        <v>1409</v>
      </c>
      <c r="AS121" t="s">
        <v>1410</v>
      </c>
      <c r="AT121" t="s">
        <v>74</v>
      </c>
      <c r="AU121">
        <v>2003</v>
      </c>
      <c r="AV121">
        <v>50</v>
      </c>
      <c r="AW121" t="s">
        <v>1552</v>
      </c>
      <c r="AX121" t="s">
        <v>74</v>
      </c>
      <c r="AY121" t="s">
        <v>74</v>
      </c>
      <c r="AZ121" t="s">
        <v>74</v>
      </c>
      <c r="BA121" t="s">
        <v>74</v>
      </c>
      <c r="BB121">
        <v>1441</v>
      </c>
      <c r="BC121">
        <v>1461</v>
      </c>
      <c r="BD121" t="s">
        <v>74</v>
      </c>
      <c r="BE121" t="s">
        <v>1620</v>
      </c>
      <c r="BF121" t="str">
        <f>HYPERLINK("http://dx.doi.org/10.1016/S0967-0645(03)00068-7","http://dx.doi.org/10.1016/S0967-0645(03)00068-7")</f>
        <v>http://dx.doi.org/10.1016/S0967-0645(03)00068-7</v>
      </c>
      <c r="BG121" t="s">
        <v>74</v>
      </c>
      <c r="BH121" t="s">
        <v>74</v>
      </c>
      <c r="BI121">
        <v>21</v>
      </c>
      <c r="BJ121" t="s">
        <v>1394</v>
      </c>
      <c r="BK121" t="s">
        <v>569</v>
      </c>
      <c r="BL121" t="s">
        <v>1394</v>
      </c>
      <c r="BM121" t="s">
        <v>1554</v>
      </c>
      <c r="BN121" t="s">
        <v>74</v>
      </c>
      <c r="BO121" t="s">
        <v>74</v>
      </c>
      <c r="BP121" t="s">
        <v>74</v>
      </c>
      <c r="BQ121" t="s">
        <v>74</v>
      </c>
      <c r="BR121" t="s">
        <v>98</v>
      </c>
      <c r="BS121" t="s">
        <v>1621</v>
      </c>
      <c r="BT121" t="str">
        <f>HYPERLINK("https%3A%2F%2Fwww.webofscience.com%2Fwos%2Fwoscc%2Ffull-record%2FWOS:000183867600008","View Full Record in Web of Science")</f>
        <v>View Full Record in Web of Science</v>
      </c>
    </row>
    <row r="122" spans="1:72" x14ac:dyDescent="0.15">
      <c r="A122" t="s">
        <v>552</v>
      </c>
      <c r="B122" t="s">
        <v>1622</v>
      </c>
      <c r="C122" t="s">
        <v>74</v>
      </c>
      <c r="D122" t="s">
        <v>74</v>
      </c>
      <c r="E122" t="s">
        <v>74</v>
      </c>
      <c r="F122" t="s">
        <v>1622</v>
      </c>
      <c r="G122" t="s">
        <v>74</v>
      </c>
      <c r="H122" t="s">
        <v>74</v>
      </c>
      <c r="I122" t="s">
        <v>1623</v>
      </c>
      <c r="J122" t="s">
        <v>1399</v>
      </c>
      <c r="K122" t="s">
        <v>74</v>
      </c>
      <c r="L122" t="s">
        <v>74</v>
      </c>
      <c r="M122" t="s">
        <v>78</v>
      </c>
      <c r="N122" t="s">
        <v>775</v>
      </c>
      <c r="O122" t="s">
        <v>74</v>
      </c>
      <c r="P122" t="s">
        <v>74</v>
      </c>
      <c r="Q122" t="s">
        <v>74</v>
      </c>
      <c r="R122" t="s">
        <v>74</v>
      </c>
      <c r="S122" t="s">
        <v>74</v>
      </c>
      <c r="T122" t="s">
        <v>74</v>
      </c>
      <c r="U122" t="s">
        <v>1624</v>
      </c>
      <c r="V122" t="s">
        <v>1625</v>
      </c>
      <c r="W122" t="s">
        <v>1626</v>
      </c>
      <c r="X122" t="s">
        <v>1627</v>
      </c>
      <c r="Y122" t="s">
        <v>1628</v>
      </c>
      <c r="Z122" t="s">
        <v>1629</v>
      </c>
      <c r="AA122" t="s">
        <v>1572</v>
      </c>
      <c r="AB122" t="s">
        <v>74</v>
      </c>
      <c r="AC122" t="s">
        <v>74</v>
      </c>
      <c r="AD122" t="s">
        <v>74</v>
      </c>
      <c r="AE122" t="s">
        <v>74</v>
      </c>
      <c r="AF122" t="s">
        <v>74</v>
      </c>
      <c r="AG122">
        <v>32</v>
      </c>
      <c r="AH122">
        <v>16</v>
      </c>
      <c r="AI122">
        <v>17</v>
      </c>
      <c r="AJ122">
        <v>1</v>
      </c>
      <c r="AK122">
        <v>7</v>
      </c>
      <c r="AL122" t="s">
        <v>806</v>
      </c>
      <c r="AM122" t="s">
        <v>807</v>
      </c>
      <c r="AN122" t="s">
        <v>808</v>
      </c>
      <c r="AO122" t="s">
        <v>1407</v>
      </c>
      <c r="AP122" t="s">
        <v>1408</v>
      </c>
      <c r="AQ122" t="s">
        <v>74</v>
      </c>
      <c r="AR122" t="s">
        <v>1409</v>
      </c>
      <c r="AS122" t="s">
        <v>1410</v>
      </c>
      <c r="AT122" t="s">
        <v>74</v>
      </c>
      <c r="AU122">
        <v>2003</v>
      </c>
      <c r="AV122">
        <v>50</v>
      </c>
      <c r="AW122" t="s">
        <v>1552</v>
      </c>
      <c r="AX122" t="s">
        <v>74</v>
      </c>
      <c r="AY122" t="s">
        <v>74</v>
      </c>
      <c r="AZ122" t="s">
        <v>74</v>
      </c>
      <c r="BA122" t="s">
        <v>74</v>
      </c>
      <c r="BB122">
        <v>1463</v>
      </c>
      <c r="BC122">
        <v>1480</v>
      </c>
      <c r="BD122" t="s">
        <v>74</v>
      </c>
      <c r="BE122" t="s">
        <v>1630</v>
      </c>
      <c r="BF122" t="str">
        <f>HYPERLINK("http://dx.doi.org/10.1016/S0967-0645(03)00070-5","http://dx.doi.org/10.1016/S0967-0645(03)00070-5")</f>
        <v>http://dx.doi.org/10.1016/S0967-0645(03)00070-5</v>
      </c>
      <c r="BG122" t="s">
        <v>74</v>
      </c>
      <c r="BH122" t="s">
        <v>74</v>
      </c>
      <c r="BI122">
        <v>18</v>
      </c>
      <c r="BJ122" t="s">
        <v>1394</v>
      </c>
      <c r="BK122" t="s">
        <v>569</v>
      </c>
      <c r="BL122" t="s">
        <v>1394</v>
      </c>
      <c r="BM122" t="s">
        <v>1554</v>
      </c>
      <c r="BN122" t="s">
        <v>74</v>
      </c>
      <c r="BO122" t="s">
        <v>74</v>
      </c>
      <c r="BP122" t="s">
        <v>74</v>
      </c>
      <c r="BQ122" t="s">
        <v>74</v>
      </c>
      <c r="BR122" t="s">
        <v>98</v>
      </c>
      <c r="BS122" t="s">
        <v>1631</v>
      </c>
      <c r="BT122" t="str">
        <f>HYPERLINK("https%3A%2F%2Fwww.webofscience.com%2Fwos%2Fwoscc%2Ffull-record%2FWOS:000183867600009","View Full Record in Web of Science")</f>
        <v>View Full Record in Web of Science</v>
      </c>
    </row>
    <row r="123" spans="1:72" x14ac:dyDescent="0.15">
      <c r="A123" t="s">
        <v>552</v>
      </c>
      <c r="B123" t="s">
        <v>1632</v>
      </c>
      <c r="C123" t="s">
        <v>74</v>
      </c>
      <c r="D123" t="s">
        <v>74</v>
      </c>
      <c r="E123" t="s">
        <v>74</v>
      </c>
      <c r="F123" t="s">
        <v>1632</v>
      </c>
      <c r="G123" t="s">
        <v>74</v>
      </c>
      <c r="H123" t="s">
        <v>74</v>
      </c>
      <c r="I123" t="s">
        <v>1633</v>
      </c>
      <c r="J123" t="s">
        <v>1399</v>
      </c>
      <c r="K123" t="s">
        <v>74</v>
      </c>
      <c r="L123" t="s">
        <v>74</v>
      </c>
      <c r="M123" t="s">
        <v>78</v>
      </c>
      <c r="N123" t="s">
        <v>775</v>
      </c>
      <c r="O123" t="s">
        <v>74</v>
      </c>
      <c r="P123" t="s">
        <v>74</v>
      </c>
      <c r="Q123" t="s">
        <v>74</v>
      </c>
      <c r="R123" t="s">
        <v>74</v>
      </c>
      <c r="S123" t="s">
        <v>74</v>
      </c>
      <c r="T123" t="s">
        <v>74</v>
      </c>
      <c r="U123" t="s">
        <v>1634</v>
      </c>
      <c r="V123" t="s">
        <v>1635</v>
      </c>
      <c r="W123" t="s">
        <v>1636</v>
      </c>
      <c r="X123" t="s">
        <v>1637</v>
      </c>
      <c r="Y123" t="s">
        <v>1638</v>
      </c>
      <c r="Z123" t="s">
        <v>1639</v>
      </c>
      <c r="AA123" t="s">
        <v>1640</v>
      </c>
      <c r="AB123" t="s">
        <v>1641</v>
      </c>
      <c r="AC123" t="s">
        <v>74</v>
      </c>
      <c r="AD123" t="s">
        <v>74</v>
      </c>
      <c r="AE123" t="s">
        <v>74</v>
      </c>
      <c r="AF123" t="s">
        <v>74</v>
      </c>
      <c r="AG123">
        <v>65</v>
      </c>
      <c r="AH123">
        <v>39</v>
      </c>
      <c r="AI123">
        <v>43</v>
      </c>
      <c r="AJ123">
        <v>1</v>
      </c>
      <c r="AK123">
        <v>9</v>
      </c>
      <c r="AL123" t="s">
        <v>806</v>
      </c>
      <c r="AM123" t="s">
        <v>807</v>
      </c>
      <c r="AN123" t="s">
        <v>808</v>
      </c>
      <c r="AO123" t="s">
        <v>1407</v>
      </c>
      <c r="AP123" t="s">
        <v>1408</v>
      </c>
      <c r="AQ123" t="s">
        <v>74</v>
      </c>
      <c r="AR123" t="s">
        <v>1409</v>
      </c>
      <c r="AS123" t="s">
        <v>1410</v>
      </c>
      <c r="AT123" t="s">
        <v>74</v>
      </c>
      <c r="AU123">
        <v>2003</v>
      </c>
      <c r="AV123">
        <v>50</v>
      </c>
      <c r="AW123" t="s">
        <v>1552</v>
      </c>
      <c r="AX123" t="s">
        <v>74</v>
      </c>
      <c r="AY123" t="s">
        <v>74</v>
      </c>
      <c r="AZ123" t="s">
        <v>74</v>
      </c>
      <c r="BA123" t="s">
        <v>74</v>
      </c>
      <c r="BB123">
        <v>1481</v>
      </c>
      <c r="BC123">
        <v>1508</v>
      </c>
      <c r="BD123" t="s">
        <v>74</v>
      </c>
      <c r="BE123" t="s">
        <v>1642</v>
      </c>
      <c r="BF123" t="str">
        <f>HYPERLINK("http://dx.doi.org/10.1016/S0967-0645(03)00073-0","http://dx.doi.org/10.1016/S0967-0645(03)00073-0")</f>
        <v>http://dx.doi.org/10.1016/S0967-0645(03)00073-0</v>
      </c>
      <c r="BG123" t="s">
        <v>74</v>
      </c>
      <c r="BH123" t="s">
        <v>74</v>
      </c>
      <c r="BI123">
        <v>28</v>
      </c>
      <c r="BJ123" t="s">
        <v>1394</v>
      </c>
      <c r="BK123" t="s">
        <v>569</v>
      </c>
      <c r="BL123" t="s">
        <v>1394</v>
      </c>
      <c r="BM123" t="s">
        <v>1554</v>
      </c>
      <c r="BN123" t="s">
        <v>74</v>
      </c>
      <c r="BO123" t="s">
        <v>74</v>
      </c>
      <c r="BP123" t="s">
        <v>74</v>
      </c>
      <c r="BQ123" t="s">
        <v>74</v>
      </c>
      <c r="BR123" t="s">
        <v>98</v>
      </c>
      <c r="BS123" t="s">
        <v>1643</v>
      </c>
      <c r="BT123" t="str">
        <f>HYPERLINK("https%3A%2F%2Fwww.webofscience.com%2Fwos%2Fwoscc%2Ffull-record%2FWOS:000183867600010","View Full Record in Web of Science")</f>
        <v>View Full Record in Web of Science</v>
      </c>
    </row>
    <row r="124" spans="1:72" x14ac:dyDescent="0.15">
      <c r="A124" t="s">
        <v>552</v>
      </c>
      <c r="B124" t="s">
        <v>1644</v>
      </c>
      <c r="C124" t="s">
        <v>74</v>
      </c>
      <c r="D124" t="s">
        <v>74</v>
      </c>
      <c r="E124" t="s">
        <v>74</v>
      </c>
      <c r="F124" t="s">
        <v>1644</v>
      </c>
      <c r="G124" t="s">
        <v>74</v>
      </c>
      <c r="H124" t="s">
        <v>74</v>
      </c>
      <c r="I124" t="s">
        <v>1645</v>
      </c>
      <c r="J124" t="s">
        <v>1399</v>
      </c>
      <c r="K124" t="s">
        <v>74</v>
      </c>
      <c r="L124" t="s">
        <v>74</v>
      </c>
      <c r="M124" t="s">
        <v>78</v>
      </c>
      <c r="N124" t="s">
        <v>775</v>
      </c>
      <c r="O124" t="s">
        <v>74</v>
      </c>
      <c r="P124" t="s">
        <v>74</v>
      </c>
      <c r="Q124" t="s">
        <v>74</v>
      </c>
      <c r="R124" t="s">
        <v>74</v>
      </c>
      <c r="S124" t="s">
        <v>74</v>
      </c>
      <c r="T124" t="s">
        <v>74</v>
      </c>
      <c r="U124" t="s">
        <v>1646</v>
      </c>
      <c r="V124" t="s">
        <v>1647</v>
      </c>
      <c r="W124" t="s">
        <v>1648</v>
      </c>
      <c r="X124" t="s">
        <v>1649</v>
      </c>
      <c r="Y124" t="s">
        <v>1650</v>
      </c>
      <c r="Z124" t="s">
        <v>74</v>
      </c>
      <c r="AA124" t="s">
        <v>74</v>
      </c>
      <c r="AB124" t="s">
        <v>1651</v>
      </c>
      <c r="AC124" t="s">
        <v>74</v>
      </c>
      <c r="AD124" t="s">
        <v>74</v>
      </c>
      <c r="AE124" t="s">
        <v>74</v>
      </c>
      <c r="AF124" t="s">
        <v>74</v>
      </c>
      <c r="AG124">
        <v>55</v>
      </c>
      <c r="AH124">
        <v>31</v>
      </c>
      <c r="AI124">
        <v>33</v>
      </c>
      <c r="AJ124">
        <v>0</v>
      </c>
      <c r="AK124">
        <v>9</v>
      </c>
      <c r="AL124" t="s">
        <v>806</v>
      </c>
      <c r="AM124" t="s">
        <v>807</v>
      </c>
      <c r="AN124" t="s">
        <v>808</v>
      </c>
      <c r="AO124" t="s">
        <v>1407</v>
      </c>
      <c r="AP124" t="s">
        <v>74</v>
      </c>
      <c r="AQ124" t="s">
        <v>74</v>
      </c>
      <c r="AR124" t="s">
        <v>1409</v>
      </c>
      <c r="AS124" t="s">
        <v>1410</v>
      </c>
      <c r="AT124" t="s">
        <v>74</v>
      </c>
      <c r="AU124">
        <v>2003</v>
      </c>
      <c r="AV124">
        <v>50</v>
      </c>
      <c r="AW124" t="s">
        <v>1552</v>
      </c>
      <c r="AX124" t="s">
        <v>74</v>
      </c>
      <c r="AY124" t="s">
        <v>74</v>
      </c>
      <c r="AZ124" t="s">
        <v>74</v>
      </c>
      <c r="BA124" t="s">
        <v>74</v>
      </c>
      <c r="BB124">
        <v>1509</v>
      </c>
      <c r="BC124">
        <v>1527</v>
      </c>
      <c r="BD124" t="s">
        <v>74</v>
      </c>
      <c r="BE124" t="s">
        <v>1652</v>
      </c>
      <c r="BF124" t="str">
        <f>HYPERLINK("http://dx.doi.org/10.1016/S0967-0645(03)00075-4","http://dx.doi.org/10.1016/S0967-0645(03)00075-4")</f>
        <v>http://dx.doi.org/10.1016/S0967-0645(03)00075-4</v>
      </c>
      <c r="BG124" t="s">
        <v>74</v>
      </c>
      <c r="BH124" t="s">
        <v>74</v>
      </c>
      <c r="BI124">
        <v>19</v>
      </c>
      <c r="BJ124" t="s">
        <v>1394</v>
      </c>
      <c r="BK124" t="s">
        <v>569</v>
      </c>
      <c r="BL124" t="s">
        <v>1394</v>
      </c>
      <c r="BM124" t="s">
        <v>1554</v>
      </c>
      <c r="BN124" t="s">
        <v>74</v>
      </c>
      <c r="BO124" t="s">
        <v>74</v>
      </c>
      <c r="BP124" t="s">
        <v>74</v>
      </c>
      <c r="BQ124" t="s">
        <v>74</v>
      </c>
      <c r="BR124" t="s">
        <v>98</v>
      </c>
      <c r="BS124" t="s">
        <v>1653</v>
      </c>
      <c r="BT124" t="str">
        <f>HYPERLINK("https%3A%2F%2Fwww.webofscience.com%2Fwos%2Fwoscc%2Ffull-record%2FWOS:000183867600011","View Full Record in Web of Science")</f>
        <v>View Full Record in Web of Science</v>
      </c>
    </row>
    <row r="125" spans="1:72" x14ac:dyDescent="0.15">
      <c r="A125" t="s">
        <v>552</v>
      </c>
      <c r="B125" t="s">
        <v>1654</v>
      </c>
      <c r="C125" t="s">
        <v>74</v>
      </c>
      <c r="D125" t="s">
        <v>74</v>
      </c>
      <c r="E125" t="s">
        <v>74</v>
      </c>
      <c r="F125" t="s">
        <v>1654</v>
      </c>
      <c r="G125" t="s">
        <v>74</v>
      </c>
      <c r="H125" t="s">
        <v>74</v>
      </c>
      <c r="I125" t="s">
        <v>1655</v>
      </c>
      <c r="J125" t="s">
        <v>1399</v>
      </c>
      <c r="K125" t="s">
        <v>74</v>
      </c>
      <c r="L125" t="s">
        <v>74</v>
      </c>
      <c r="M125" t="s">
        <v>78</v>
      </c>
      <c r="N125" t="s">
        <v>775</v>
      </c>
      <c r="O125" t="s">
        <v>74</v>
      </c>
      <c r="P125" t="s">
        <v>74</v>
      </c>
      <c r="Q125" t="s">
        <v>74</v>
      </c>
      <c r="R125" t="s">
        <v>74</v>
      </c>
      <c r="S125" t="s">
        <v>74</v>
      </c>
      <c r="T125" t="s">
        <v>74</v>
      </c>
      <c r="U125" t="s">
        <v>1656</v>
      </c>
      <c r="V125" t="s">
        <v>1657</v>
      </c>
      <c r="W125" t="s">
        <v>1658</v>
      </c>
      <c r="X125" t="s">
        <v>1659</v>
      </c>
      <c r="Y125" t="s">
        <v>1660</v>
      </c>
      <c r="Z125" t="s">
        <v>1661</v>
      </c>
      <c r="AA125" t="s">
        <v>1662</v>
      </c>
      <c r="AB125" t="s">
        <v>1663</v>
      </c>
      <c r="AC125" t="s">
        <v>74</v>
      </c>
      <c r="AD125" t="s">
        <v>74</v>
      </c>
      <c r="AE125" t="s">
        <v>74</v>
      </c>
      <c r="AF125" t="s">
        <v>74</v>
      </c>
      <c r="AG125">
        <v>52</v>
      </c>
      <c r="AH125">
        <v>21</v>
      </c>
      <c r="AI125">
        <v>24</v>
      </c>
      <c r="AJ125">
        <v>0</v>
      </c>
      <c r="AK125">
        <v>5</v>
      </c>
      <c r="AL125" t="s">
        <v>806</v>
      </c>
      <c r="AM125" t="s">
        <v>807</v>
      </c>
      <c r="AN125" t="s">
        <v>808</v>
      </c>
      <c r="AO125" t="s">
        <v>1407</v>
      </c>
      <c r="AP125" t="s">
        <v>1408</v>
      </c>
      <c r="AQ125" t="s">
        <v>74</v>
      </c>
      <c r="AR125" t="s">
        <v>1409</v>
      </c>
      <c r="AS125" t="s">
        <v>1410</v>
      </c>
      <c r="AT125" t="s">
        <v>74</v>
      </c>
      <c r="AU125">
        <v>2003</v>
      </c>
      <c r="AV125">
        <v>50</v>
      </c>
      <c r="AW125" t="s">
        <v>1552</v>
      </c>
      <c r="AX125" t="s">
        <v>74</v>
      </c>
      <c r="AY125" t="s">
        <v>74</v>
      </c>
      <c r="AZ125" t="s">
        <v>74</v>
      </c>
      <c r="BA125" t="s">
        <v>74</v>
      </c>
      <c r="BB125">
        <v>1529</v>
      </c>
      <c r="BC125">
        <v>1562</v>
      </c>
      <c r="BD125" t="s">
        <v>74</v>
      </c>
      <c r="BE125" t="s">
        <v>1664</v>
      </c>
      <c r="BF125" t="str">
        <f>HYPERLINK("http://dx.doi.org/10.1016/S0967-0645(03)00078-X","http://dx.doi.org/10.1016/S0967-0645(03)00078-X")</f>
        <v>http://dx.doi.org/10.1016/S0967-0645(03)00078-X</v>
      </c>
      <c r="BG125" t="s">
        <v>74</v>
      </c>
      <c r="BH125" t="s">
        <v>74</v>
      </c>
      <c r="BI125">
        <v>34</v>
      </c>
      <c r="BJ125" t="s">
        <v>1394</v>
      </c>
      <c r="BK125" t="s">
        <v>569</v>
      </c>
      <c r="BL125" t="s">
        <v>1394</v>
      </c>
      <c r="BM125" t="s">
        <v>1554</v>
      </c>
      <c r="BN125" t="s">
        <v>74</v>
      </c>
      <c r="BO125" t="s">
        <v>74</v>
      </c>
      <c r="BP125" t="s">
        <v>74</v>
      </c>
      <c r="BQ125" t="s">
        <v>74</v>
      </c>
      <c r="BR125" t="s">
        <v>98</v>
      </c>
      <c r="BS125" t="s">
        <v>1665</v>
      </c>
      <c r="BT125" t="str">
        <f>HYPERLINK("https%3A%2F%2Fwww.webofscience.com%2Fwos%2Fwoscc%2Ffull-record%2FWOS:000183867600012","View Full Record in Web of Science")</f>
        <v>View Full Record in Web of Science</v>
      </c>
    </row>
    <row r="126" spans="1:72" x14ac:dyDescent="0.15">
      <c r="A126" t="s">
        <v>552</v>
      </c>
      <c r="B126" t="s">
        <v>1666</v>
      </c>
      <c r="C126" t="s">
        <v>74</v>
      </c>
      <c r="D126" t="s">
        <v>74</v>
      </c>
      <c r="E126" t="s">
        <v>74</v>
      </c>
      <c r="F126" t="s">
        <v>1666</v>
      </c>
      <c r="G126" t="s">
        <v>74</v>
      </c>
      <c r="H126" t="s">
        <v>74</v>
      </c>
      <c r="I126" t="s">
        <v>1667</v>
      </c>
      <c r="J126" t="s">
        <v>1399</v>
      </c>
      <c r="K126" t="s">
        <v>74</v>
      </c>
      <c r="L126" t="s">
        <v>74</v>
      </c>
      <c r="M126" t="s">
        <v>78</v>
      </c>
      <c r="N126" t="s">
        <v>775</v>
      </c>
      <c r="O126" t="s">
        <v>74</v>
      </c>
      <c r="P126" t="s">
        <v>74</v>
      </c>
      <c r="Q126" t="s">
        <v>74</v>
      </c>
      <c r="R126" t="s">
        <v>74</v>
      </c>
      <c r="S126" t="s">
        <v>74</v>
      </c>
      <c r="T126" t="s">
        <v>74</v>
      </c>
      <c r="U126" t="s">
        <v>1668</v>
      </c>
      <c r="V126" t="s">
        <v>1669</v>
      </c>
      <c r="W126" t="s">
        <v>1670</v>
      </c>
      <c r="X126" t="s">
        <v>1671</v>
      </c>
      <c r="Y126" t="s">
        <v>74</v>
      </c>
      <c r="Z126" t="s">
        <v>1672</v>
      </c>
      <c r="AA126" t="s">
        <v>1673</v>
      </c>
      <c r="AB126" t="s">
        <v>1674</v>
      </c>
      <c r="AC126" t="s">
        <v>74</v>
      </c>
      <c r="AD126" t="s">
        <v>74</v>
      </c>
      <c r="AE126" t="s">
        <v>74</v>
      </c>
      <c r="AF126" t="s">
        <v>74</v>
      </c>
      <c r="AG126">
        <v>64</v>
      </c>
      <c r="AH126">
        <v>42</v>
      </c>
      <c r="AI126">
        <v>43</v>
      </c>
      <c r="AJ126">
        <v>0</v>
      </c>
      <c r="AK126">
        <v>4</v>
      </c>
      <c r="AL126" t="s">
        <v>806</v>
      </c>
      <c r="AM126" t="s">
        <v>807</v>
      </c>
      <c r="AN126" t="s">
        <v>808</v>
      </c>
      <c r="AO126" t="s">
        <v>1407</v>
      </c>
      <c r="AP126" t="s">
        <v>1408</v>
      </c>
      <c r="AQ126" t="s">
        <v>74</v>
      </c>
      <c r="AR126" t="s">
        <v>1409</v>
      </c>
      <c r="AS126" t="s">
        <v>1410</v>
      </c>
      <c r="AT126" t="s">
        <v>74</v>
      </c>
      <c r="AU126">
        <v>2003</v>
      </c>
      <c r="AV126">
        <v>50</v>
      </c>
      <c r="AW126" t="s">
        <v>1675</v>
      </c>
      <c r="AX126" t="s">
        <v>74</v>
      </c>
      <c r="AY126" t="s">
        <v>74</v>
      </c>
      <c r="AZ126" t="s">
        <v>74</v>
      </c>
      <c r="BA126" t="s">
        <v>74</v>
      </c>
      <c r="BB126">
        <v>1611</v>
      </c>
      <c r="BC126">
        <v>1629</v>
      </c>
      <c r="BD126" t="s">
        <v>74</v>
      </c>
      <c r="BE126" t="s">
        <v>1676</v>
      </c>
      <c r="BF126" t="str">
        <f>HYPERLINK("http://dx.doi.org/10.1016/S0967-0645(03)00082-1","http://dx.doi.org/10.1016/S0967-0645(03)00082-1")</f>
        <v>http://dx.doi.org/10.1016/S0967-0645(03)00082-1</v>
      </c>
      <c r="BG126" t="s">
        <v>74</v>
      </c>
      <c r="BH126" t="s">
        <v>74</v>
      </c>
      <c r="BI126">
        <v>19</v>
      </c>
      <c r="BJ126" t="s">
        <v>1394</v>
      </c>
      <c r="BK126" t="s">
        <v>569</v>
      </c>
      <c r="BL126" t="s">
        <v>1394</v>
      </c>
      <c r="BM126" t="s">
        <v>1677</v>
      </c>
      <c r="BN126" t="s">
        <v>74</v>
      </c>
      <c r="BO126" t="s">
        <v>74</v>
      </c>
      <c r="BP126" t="s">
        <v>74</v>
      </c>
      <c r="BQ126" t="s">
        <v>74</v>
      </c>
      <c r="BR126" t="s">
        <v>98</v>
      </c>
      <c r="BS126" t="s">
        <v>1678</v>
      </c>
      <c r="BT126" t="str">
        <f>HYPERLINK("https%3A%2F%2Fwww.webofscience.com%2Fwos%2Fwoscc%2Ffull-record%2FWOS:000183867800002","View Full Record in Web of Science")</f>
        <v>View Full Record in Web of Science</v>
      </c>
    </row>
    <row r="127" spans="1:72" x14ac:dyDescent="0.15">
      <c r="A127" t="s">
        <v>552</v>
      </c>
      <c r="B127" t="s">
        <v>1679</v>
      </c>
      <c r="C127" t="s">
        <v>74</v>
      </c>
      <c r="D127" t="s">
        <v>74</v>
      </c>
      <c r="E127" t="s">
        <v>74</v>
      </c>
      <c r="F127" t="s">
        <v>1679</v>
      </c>
      <c r="G127" t="s">
        <v>74</v>
      </c>
      <c r="H127" t="s">
        <v>74</v>
      </c>
      <c r="I127" t="s">
        <v>1680</v>
      </c>
      <c r="J127" t="s">
        <v>1399</v>
      </c>
      <c r="K127" t="s">
        <v>74</v>
      </c>
      <c r="L127" t="s">
        <v>74</v>
      </c>
      <c r="M127" t="s">
        <v>78</v>
      </c>
      <c r="N127" t="s">
        <v>775</v>
      </c>
      <c r="O127" t="s">
        <v>74</v>
      </c>
      <c r="P127" t="s">
        <v>74</v>
      </c>
      <c r="Q127" t="s">
        <v>74</v>
      </c>
      <c r="R127" t="s">
        <v>74</v>
      </c>
      <c r="S127" t="s">
        <v>74</v>
      </c>
      <c r="T127" t="s">
        <v>74</v>
      </c>
      <c r="U127" t="s">
        <v>1681</v>
      </c>
      <c r="V127" t="s">
        <v>1682</v>
      </c>
      <c r="W127" t="s">
        <v>1683</v>
      </c>
      <c r="X127" t="s">
        <v>1684</v>
      </c>
      <c r="Y127" t="s">
        <v>1685</v>
      </c>
      <c r="Z127" t="s">
        <v>74</v>
      </c>
      <c r="AA127" t="s">
        <v>74</v>
      </c>
      <c r="AB127" t="s">
        <v>1686</v>
      </c>
      <c r="AC127" t="s">
        <v>74</v>
      </c>
      <c r="AD127" t="s">
        <v>74</v>
      </c>
      <c r="AE127" t="s">
        <v>74</v>
      </c>
      <c r="AF127" t="s">
        <v>74</v>
      </c>
      <c r="AG127">
        <v>22</v>
      </c>
      <c r="AH127">
        <v>20</v>
      </c>
      <c r="AI127">
        <v>25</v>
      </c>
      <c r="AJ127">
        <v>0</v>
      </c>
      <c r="AK127">
        <v>5</v>
      </c>
      <c r="AL127" t="s">
        <v>806</v>
      </c>
      <c r="AM127" t="s">
        <v>807</v>
      </c>
      <c r="AN127" t="s">
        <v>808</v>
      </c>
      <c r="AO127" t="s">
        <v>1407</v>
      </c>
      <c r="AP127" t="s">
        <v>74</v>
      </c>
      <c r="AQ127" t="s">
        <v>74</v>
      </c>
      <c r="AR127" t="s">
        <v>1409</v>
      </c>
      <c r="AS127" t="s">
        <v>1410</v>
      </c>
      <c r="AT127" t="s">
        <v>74</v>
      </c>
      <c r="AU127">
        <v>2003</v>
      </c>
      <c r="AV127">
        <v>50</v>
      </c>
      <c r="AW127" t="s">
        <v>1675</v>
      </c>
      <c r="AX127" t="s">
        <v>74</v>
      </c>
      <c r="AY127" t="s">
        <v>74</v>
      </c>
      <c r="AZ127" t="s">
        <v>74</v>
      </c>
      <c r="BA127" t="s">
        <v>74</v>
      </c>
      <c r="BB127">
        <v>1649</v>
      </c>
      <c r="BC127">
        <v>1664</v>
      </c>
      <c r="BD127" t="s">
        <v>74</v>
      </c>
      <c r="BE127" t="s">
        <v>1687</v>
      </c>
      <c r="BF127" t="str">
        <f>HYPERLINK("http://dx.doi.org/10.1016/S0967-0645(03)00084-5","http://dx.doi.org/10.1016/S0967-0645(03)00084-5")</f>
        <v>http://dx.doi.org/10.1016/S0967-0645(03)00084-5</v>
      </c>
      <c r="BG127" t="s">
        <v>74</v>
      </c>
      <c r="BH127" t="s">
        <v>74</v>
      </c>
      <c r="BI127">
        <v>16</v>
      </c>
      <c r="BJ127" t="s">
        <v>1394</v>
      </c>
      <c r="BK127" t="s">
        <v>569</v>
      </c>
      <c r="BL127" t="s">
        <v>1394</v>
      </c>
      <c r="BM127" t="s">
        <v>1677</v>
      </c>
      <c r="BN127" t="s">
        <v>74</v>
      </c>
      <c r="BO127" t="s">
        <v>74</v>
      </c>
      <c r="BP127" t="s">
        <v>74</v>
      </c>
      <c r="BQ127" t="s">
        <v>74</v>
      </c>
      <c r="BR127" t="s">
        <v>98</v>
      </c>
      <c r="BS127" t="s">
        <v>1688</v>
      </c>
      <c r="BT127" t="str">
        <f>HYPERLINK("https%3A%2F%2Fwww.webofscience.com%2Fwos%2Fwoscc%2Ffull-record%2FWOS:000183867800004","View Full Record in Web of Science")</f>
        <v>View Full Record in Web of Science</v>
      </c>
    </row>
    <row r="128" spans="1:72" x14ac:dyDescent="0.15">
      <c r="A128" t="s">
        <v>552</v>
      </c>
      <c r="B128" t="s">
        <v>1689</v>
      </c>
      <c r="C128" t="s">
        <v>74</v>
      </c>
      <c r="D128" t="s">
        <v>74</v>
      </c>
      <c r="E128" t="s">
        <v>74</v>
      </c>
      <c r="F128" t="s">
        <v>1689</v>
      </c>
      <c r="G128" t="s">
        <v>74</v>
      </c>
      <c r="H128" t="s">
        <v>74</v>
      </c>
      <c r="I128" t="s">
        <v>1690</v>
      </c>
      <c r="J128" t="s">
        <v>1399</v>
      </c>
      <c r="K128" t="s">
        <v>74</v>
      </c>
      <c r="L128" t="s">
        <v>74</v>
      </c>
      <c r="M128" t="s">
        <v>78</v>
      </c>
      <c r="N128" t="s">
        <v>775</v>
      </c>
      <c r="O128" t="s">
        <v>74</v>
      </c>
      <c r="P128" t="s">
        <v>74</v>
      </c>
      <c r="Q128" t="s">
        <v>74</v>
      </c>
      <c r="R128" t="s">
        <v>74</v>
      </c>
      <c r="S128" t="s">
        <v>74</v>
      </c>
      <c r="T128" t="s">
        <v>74</v>
      </c>
      <c r="U128" t="s">
        <v>1691</v>
      </c>
      <c r="V128" t="s">
        <v>1692</v>
      </c>
      <c r="W128" t="s">
        <v>1693</v>
      </c>
      <c r="X128" t="s">
        <v>1694</v>
      </c>
      <c r="Y128" t="s">
        <v>1695</v>
      </c>
      <c r="Z128" t="s">
        <v>1696</v>
      </c>
      <c r="AA128" t="s">
        <v>74</v>
      </c>
      <c r="AB128" t="s">
        <v>1697</v>
      </c>
      <c r="AC128" t="s">
        <v>74</v>
      </c>
      <c r="AD128" t="s">
        <v>74</v>
      </c>
      <c r="AE128" t="s">
        <v>74</v>
      </c>
      <c r="AF128" t="s">
        <v>74</v>
      </c>
      <c r="AG128">
        <v>32</v>
      </c>
      <c r="AH128">
        <v>23</v>
      </c>
      <c r="AI128">
        <v>31</v>
      </c>
      <c r="AJ128">
        <v>1</v>
      </c>
      <c r="AK128">
        <v>4</v>
      </c>
      <c r="AL128" t="s">
        <v>806</v>
      </c>
      <c r="AM128" t="s">
        <v>807</v>
      </c>
      <c r="AN128" t="s">
        <v>808</v>
      </c>
      <c r="AO128" t="s">
        <v>1407</v>
      </c>
      <c r="AP128" t="s">
        <v>1408</v>
      </c>
      <c r="AQ128" t="s">
        <v>74</v>
      </c>
      <c r="AR128" t="s">
        <v>1409</v>
      </c>
      <c r="AS128" t="s">
        <v>1410</v>
      </c>
      <c r="AT128" t="s">
        <v>74</v>
      </c>
      <c r="AU128">
        <v>2003</v>
      </c>
      <c r="AV128">
        <v>50</v>
      </c>
      <c r="AW128" t="s">
        <v>1675</v>
      </c>
      <c r="AX128" t="s">
        <v>74</v>
      </c>
      <c r="AY128" t="s">
        <v>74</v>
      </c>
      <c r="AZ128" t="s">
        <v>74</v>
      </c>
      <c r="BA128" t="s">
        <v>74</v>
      </c>
      <c r="BB128">
        <v>1665</v>
      </c>
      <c r="BC128">
        <v>1683</v>
      </c>
      <c r="BD128" t="s">
        <v>74</v>
      </c>
      <c r="BE128" t="s">
        <v>1698</v>
      </c>
      <c r="BF128" t="str">
        <f>HYPERLINK("http://dx.doi.org/10.1016/S0967-0645(03)00085-7","http://dx.doi.org/10.1016/S0967-0645(03)00085-7")</f>
        <v>http://dx.doi.org/10.1016/S0967-0645(03)00085-7</v>
      </c>
      <c r="BG128" t="s">
        <v>74</v>
      </c>
      <c r="BH128" t="s">
        <v>74</v>
      </c>
      <c r="BI128">
        <v>19</v>
      </c>
      <c r="BJ128" t="s">
        <v>1394</v>
      </c>
      <c r="BK128" t="s">
        <v>569</v>
      </c>
      <c r="BL128" t="s">
        <v>1394</v>
      </c>
      <c r="BM128" t="s">
        <v>1677</v>
      </c>
      <c r="BN128" t="s">
        <v>74</v>
      </c>
      <c r="BO128" t="s">
        <v>74</v>
      </c>
      <c r="BP128" t="s">
        <v>74</v>
      </c>
      <c r="BQ128" t="s">
        <v>74</v>
      </c>
      <c r="BR128" t="s">
        <v>98</v>
      </c>
      <c r="BS128" t="s">
        <v>1699</v>
      </c>
      <c r="BT128" t="str">
        <f>HYPERLINK("https%3A%2F%2Fwww.webofscience.com%2Fwos%2Fwoscc%2Ffull-record%2FWOS:000183867800005","View Full Record in Web of Science")</f>
        <v>View Full Record in Web of Science</v>
      </c>
    </row>
    <row r="129" spans="1:72" x14ac:dyDescent="0.15">
      <c r="A129" t="s">
        <v>552</v>
      </c>
      <c r="B129" t="s">
        <v>1700</v>
      </c>
      <c r="C129" t="s">
        <v>74</v>
      </c>
      <c r="D129" t="s">
        <v>74</v>
      </c>
      <c r="E129" t="s">
        <v>74</v>
      </c>
      <c r="F129" t="s">
        <v>1700</v>
      </c>
      <c r="G129" t="s">
        <v>74</v>
      </c>
      <c r="H129" t="s">
        <v>74</v>
      </c>
      <c r="I129" t="s">
        <v>1701</v>
      </c>
      <c r="J129" t="s">
        <v>1399</v>
      </c>
      <c r="K129" t="s">
        <v>74</v>
      </c>
      <c r="L129" t="s">
        <v>74</v>
      </c>
      <c r="M129" t="s">
        <v>78</v>
      </c>
      <c r="N129" t="s">
        <v>775</v>
      </c>
      <c r="O129" t="s">
        <v>74</v>
      </c>
      <c r="P129" t="s">
        <v>74</v>
      </c>
      <c r="Q129" t="s">
        <v>74</v>
      </c>
      <c r="R129" t="s">
        <v>74</v>
      </c>
      <c r="S129" t="s">
        <v>74</v>
      </c>
      <c r="T129" t="s">
        <v>74</v>
      </c>
      <c r="U129" t="s">
        <v>1702</v>
      </c>
      <c r="V129" t="s">
        <v>1703</v>
      </c>
      <c r="W129" t="s">
        <v>1704</v>
      </c>
      <c r="X129" t="s">
        <v>1705</v>
      </c>
      <c r="Y129" t="s">
        <v>1706</v>
      </c>
      <c r="Z129" t="s">
        <v>1707</v>
      </c>
      <c r="AA129" t="s">
        <v>74</v>
      </c>
      <c r="AB129" t="s">
        <v>74</v>
      </c>
      <c r="AC129" t="s">
        <v>74</v>
      </c>
      <c r="AD129" t="s">
        <v>74</v>
      </c>
      <c r="AE129" t="s">
        <v>74</v>
      </c>
      <c r="AF129" t="s">
        <v>74</v>
      </c>
      <c r="AG129">
        <v>23</v>
      </c>
      <c r="AH129">
        <v>17</v>
      </c>
      <c r="AI129">
        <v>19</v>
      </c>
      <c r="AJ129">
        <v>0</v>
      </c>
      <c r="AK129">
        <v>5</v>
      </c>
      <c r="AL129" t="s">
        <v>806</v>
      </c>
      <c r="AM129" t="s">
        <v>807</v>
      </c>
      <c r="AN129" t="s">
        <v>808</v>
      </c>
      <c r="AO129" t="s">
        <v>1407</v>
      </c>
      <c r="AP129" t="s">
        <v>1408</v>
      </c>
      <c r="AQ129" t="s">
        <v>74</v>
      </c>
      <c r="AR129" t="s">
        <v>1409</v>
      </c>
      <c r="AS129" t="s">
        <v>1410</v>
      </c>
      <c r="AT129" t="s">
        <v>74</v>
      </c>
      <c r="AU129">
        <v>2003</v>
      </c>
      <c r="AV129">
        <v>50</v>
      </c>
      <c r="AW129" t="s">
        <v>1675</v>
      </c>
      <c r="AX129" t="s">
        <v>74</v>
      </c>
      <c r="AY129" t="s">
        <v>74</v>
      </c>
      <c r="AZ129" t="s">
        <v>74</v>
      </c>
      <c r="BA129" t="s">
        <v>74</v>
      </c>
      <c r="BB129">
        <v>1685</v>
      </c>
      <c r="BC129">
        <v>1705</v>
      </c>
      <c r="BD129" t="s">
        <v>74</v>
      </c>
      <c r="BE129" t="s">
        <v>1708</v>
      </c>
      <c r="BF129" t="str">
        <f>HYPERLINK("http://dx.doi.org/10.1016/S0967-0645(03)00086-9","http://dx.doi.org/10.1016/S0967-0645(03)00086-9")</f>
        <v>http://dx.doi.org/10.1016/S0967-0645(03)00086-9</v>
      </c>
      <c r="BG129" t="s">
        <v>74</v>
      </c>
      <c r="BH129" t="s">
        <v>74</v>
      </c>
      <c r="BI129">
        <v>21</v>
      </c>
      <c r="BJ129" t="s">
        <v>1394</v>
      </c>
      <c r="BK129" t="s">
        <v>569</v>
      </c>
      <c r="BL129" t="s">
        <v>1394</v>
      </c>
      <c r="BM129" t="s">
        <v>1677</v>
      </c>
      <c r="BN129" t="s">
        <v>74</v>
      </c>
      <c r="BO129" t="s">
        <v>74</v>
      </c>
      <c r="BP129" t="s">
        <v>74</v>
      </c>
      <c r="BQ129" t="s">
        <v>74</v>
      </c>
      <c r="BR129" t="s">
        <v>98</v>
      </c>
      <c r="BS129" t="s">
        <v>1709</v>
      </c>
      <c r="BT129" t="str">
        <f>HYPERLINK("https%3A%2F%2Fwww.webofscience.com%2Fwos%2Fwoscc%2Ffull-record%2FWOS:000183867800006","View Full Record in Web of Science")</f>
        <v>View Full Record in Web of Science</v>
      </c>
    </row>
    <row r="130" spans="1:72" x14ac:dyDescent="0.15">
      <c r="A130" t="s">
        <v>552</v>
      </c>
      <c r="B130" t="s">
        <v>1710</v>
      </c>
      <c r="C130" t="s">
        <v>74</v>
      </c>
      <c r="D130" t="s">
        <v>74</v>
      </c>
      <c r="E130" t="s">
        <v>74</v>
      </c>
      <c r="F130" t="s">
        <v>1710</v>
      </c>
      <c r="G130" t="s">
        <v>74</v>
      </c>
      <c r="H130" t="s">
        <v>74</v>
      </c>
      <c r="I130" t="s">
        <v>1711</v>
      </c>
      <c r="J130" t="s">
        <v>1399</v>
      </c>
      <c r="K130" t="s">
        <v>74</v>
      </c>
      <c r="L130" t="s">
        <v>74</v>
      </c>
      <c r="M130" t="s">
        <v>78</v>
      </c>
      <c r="N130" t="s">
        <v>775</v>
      </c>
      <c r="O130" t="s">
        <v>74</v>
      </c>
      <c r="P130" t="s">
        <v>74</v>
      </c>
      <c r="Q130" t="s">
        <v>74</v>
      </c>
      <c r="R130" t="s">
        <v>74</v>
      </c>
      <c r="S130" t="s">
        <v>74</v>
      </c>
      <c r="T130" t="s">
        <v>74</v>
      </c>
      <c r="U130" t="s">
        <v>1712</v>
      </c>
      <c r="V130" t="s">
        <v>1713</v>
      </c>
      <c r="W130" t="s">
        <v>1714</v>
      </c>
      <c r="X130" t="s">
        <v>1715</v>
      </c>
      <c r="Y130" t="s">
        <v>1706</v>
      </c>
      <c r="Z130" t="s">
        <v>1716</v>
      </c>
      <c r="AA130" t="s">
        <v>74</v>
      </c>
      <c r="AB130" t="s">
        <v>74</v>
      </c>
      <c r="AC130" t="s">
        <v>74</v>
      </c>
      <c r="AD130" t="s">
        <v>74</v>
      </c>
      <c r="AE130" t="s">
        <v>74</v>
      </c>
      <c r="AF130" t="s">
        <v>74</v>
      </c>
      <c r="AG130">
        <v>66</v>
      </c>
      <c r="AH130">
        <v>23</v>
      </c>
      <c r="AI130">
        <v>24</v>
      </c>
      <c r="AJ130">
        <v>0</v>
      </c>
      <c r="AK130">
        <v>7</v>
      </c>
      <c r="AL130" t="s">
        <v>806</v>
      </c>
      <c r="AM130" t="s">
        <v>807</v>
      </c>
      <c r="AN130" t="s">
        <v>808</v>
      </c>
      <c r="AO130" t="s">
        <v>1407</v>
      </c>
      <c r="AP130" t="s">
        <v>1408</v>
      </c>
      <c r="AQ130" t="s">
        <v>74</v>
      </c>
      <c r="AR130" t="s">
        <v>1409</v>
      </c>
      <c r="AS130" t="s">
        <v>1410</v>
      </c>
      <c r="AT130" t="s">
        <v>74</v>
      </c>
      <c r="AU130">
        <v>2003</v>
      </c>
      <c r="AV130">
        <v>50</v>
      </c>
      <c r="AW130" t="s">
        <v>1675</v>
      </c>
      <c r="AX130" t="s">
        <v>74</v>
      </c>
      <c r="AY130" t="s">
        <v>74</v>
      </c>
      <c r="AZ130" t="s">
        <v>74</v>
      </c>
      <c r="BA130" t="s">
        <v>74</v>
      </c>
      <c r="BB130">
        <v>1727</v>
      </c>
      <c r="BC130">
        <v>1751</v>
      </c>
      <c r="BD130" t="s">
        <v>74</v>
      </c>
      <c r="BE130" t="s">
        <v>1717</v>
      </c>
      <c r="BF130" t="str">
        <f>HYPERLINK("http://dx.doi.org/10.1016/S0967-0645(03)00090-0","http://dx.doi.org/10.1016/S0967-0645(03)00090-0")</f>
        <v>http://dx.doi.org/10.1016/S0967-0645(03)00090-0</v>
      </c>
      <c r="BG130" t="s">
        <v>74</v>
      </c>
      <c r="BH130" t="s">
        <v>74</v>
      </c>
      <c r="BI130">
        <v>25</v>
      </c>
      <c r="BJ130" t="s">
        <v>1394</v>
      </c>
      <c r="BK130" t="s">
        <v>569</v>
      </c>
      <c r="BL130" t="s">
        <v>1394</v>
      </c>
      <c r="BM130" t="s">
        <v>1677</v>
      </c>
      <c r="BN130" t="s">
        <v>74</v>
      </c>
      <c r="BO130" t="s">
        <v>74</v>
      </c>
      <c r="BP130" t="s">
        <v>74</v>
      </c>
      <c r="BQ130" t="s">
        <v>74</v>
      </c>
      <c r="BR130" t="s">
        <v>98</v>
      </c>
      <c r="BS130" t="s">
        <v>1718</v>
      </c>
      <c r="BT130" t="str">
        <f>HYPERLINK("https%3A%2F%2Fwww.webofscience.com%2Fwos%2Fwoscc%2Ffull-record%2FWOS:000183867800008","View Full Record in Web of Science")</f>
        <v>View Full Record in Web of Science</v>
      </c>
    </row>
    <row r="131" spans="1:72" x14ac:dyDescent="0.15">
      <c r="A131" t="s">
        <v>552</v>
      </c>
      <c r="B131" t="s">
        <v>1719</v>
      </c>
      <c r="C131" t="s">
        <v>74</v>
      </c>
      <c r="D131" t="s">
        <v>74</v>
      </c>
      <c r="E131" t="s">
        <v>74</v>
      </c>
      <c r="F131" t="s">
        <v>1719</v>
      </c>
      <c r="G131" t="s">
        <v>74</v>
      </c>
      <c r="H131" t="s">
        <v>74</v>
      </c>
      <c r="I131" t="s">
        <v>1720</v>
      </c>
      <c r="J131" t="s">
        <v>1399</v>
      </c>
      <c r="K131" t="s">
        <v>74</v>
      </c>
      <c r="L131" t="s">
        <v>74</v>
      </c>
      <c r="M131" t="s">
        <v>78</v>
      </c>
      <c r="N131" t="s">
        <v>775</v>
      </c>
      <c r="O131" t="s">
        <v>74</v>
      </c>
      <c r="P131" t="s">
        <v>74</v>
      </c>
      <c r="Q131" t="s">
        <v>74</v>
      </c>
      <c r="R131" t="s">
        <v>74</v>
      </c>
      <c r="S131" t="s">
        <v>74</v>
      </c>
      <c r="T131" t="s">
        <v>74</v>
      </c>
      <c r="U131" t="s">
        <v>1721</v>
      </c>
      <c r="V131" t="s">
        <v>1722</v>
      </c>
      <c r="W131" t="s">
        <v>1723</v>
      </c>
      <c r="X131" t="s">
        <v>1715</v>
      </c>
      <c r="Y131" t="s">
        <v>1724</v>
      </c>
      <c r="Z131" t="s">
        <v>74</v>
      </c>
      <c r="AA131" t="s">
        <v>74</v>
      </c>
      <c r="AB131" t="s">
        <v>74</v>
      </c>
      <c r="AC131" t="s">
        <v>74</v>
      </c>
      <c r="AD131" t="s">
        <v>74</v>
      </c>
      <c r="AE131" t="s">
        <v>74</v>
      </c>
      <c r="AF131" t="s">
        <v>74</v>
      </c>
      <c r="AG131">
        <v>32</v>
      </c>
      <c r="AH131">
        <v>19</v>
      </c>
      <c r="AI131">
        <v>22</v>
      </c>
      <c r="AJ131">
        <v>0</v>
      </c>
      <c r="AK131">
        <v>5</v>
      </c>
      <c r="AL131" t="s">
        <v>806</v>
      </c>
      <c r="AM131" t="s">
        <v>807</v>
      </c>
      <c r="AN131" t="s">
        <v>808</v>
      </c>
      <c r="AO131" t="s">
        <v>1407</v>
      </c>
      <c r="AP131" t="s">
        <v>74</v>
      </c>
      <c r="AQ131" t="s">
        <v>74</v>
      </c>
      <c r="AR131" t="s">
        <v>1409</v>
      </c>
      <c r="AS131" t="s">
        <v>1410</v>
      </c>
      <c r="AT131" t="s">
        <v>74</v>
      </c>
      <c r="AU131">
        <v>2003</v>
      </c>
      <c r="AV131">
        <v>50</v>
      </c>
      <c r="AW131" t="s">
        <v>1675</v>
      </c>
      <c r="AX131" t="s">
        <v>74</v>
      </c>
      <c r="AY131" t="s">
        <v>74</v>
      </c>
      <c r="AZ131" t="s">
        <v>74</v>
      </c>
      <c r="BA131" t="s">
        <v>74</v>
      </c>
      <c r="BB131">
        <v>1787</v>
      </c>
      <c r="BC131">
        <v>1798</v>
      </c>
      <c r="BD131" t="s">
        <v>74</v>
      </c>
      <c r="BE131" t="s">
        <v>1725</v>
      </c>
      <c r="BF131" t="str">
        <f>HYPERLINK("http://dx.doi.org/10.1016/S0967-0645(03)00088-2","http://dx.doi.org/10.1016/S0967-0645(03)00088-2")</f>
        <v>http://dx.doi.org/10.1016/S0967-0645(03)00088-2</v>
      </c>
      <c r="BG131" t="s">
        <v>74</v>
      </c>
      <c r="BH131" t="s">
        <v>74</v>
      </c>
      <c r="BI131">
        <v>12</v>
      </c>
      <c r="BJ131" t="s">
        <v>1394</v>
      </c>
      <c r="BK131" t="s">
        <v>569</v>
      </c>
      <c r="BL131" t="s">
        <v>1394</v>
      </c>
      <c r="BM131" t="s">
        <v>1677</v>
      </c>
      <c r="BN131" t="s">
        <v>74</v>
      </c>
      <c r="BO131" t="s">
        <v>74</v>
      </c>
      <c r="BP131" t="s">
        <v>74</v>
      </c>
      <c r="BQ131" t="s">
        <v>74</v>
      </c>
      <c r="BR131" t="s">
        <v>98</v>
      </c>
      <c r="BS131" t="s">
        <v>1726</v>
      </c>
      <c r="BT131" t="str">
        <f>HYPERLINK("https%3A%2F%2Fwww.webofscience.com%2Fwos%2Fwoscc%2Ffull-record%2FWOS:000183867800011","View Full Record in Web of Science")</f>
        <v>View Full Record in Web of Science</v>
      </c>
    </row>
    <row r="132" spans="1:72" x14ac:dyDescent="0.15">
      <c r="A132" t="s">
        <v>552</v>
      </c>
      <c r="B132" t="s">
        <v>1727</v>
      </c>
      <c r="C132" t="s">
        <v>74</v>
      </c>
      <c r="D132" t="s">
        <v>74</v>
      </c>
      <c r="E132" t="s">
        <v>74</v>
      </c>
      <c r="F132" t="s">
        <v>1727</v>
      </c>
      <c r="G132" t="s">
        <v>74</v>
      </c>
      <c r="H132" t="s">
        <v>74</v>
      </c>
      <c r="I132" t="s">
        <v>1728</v>
      </c>
      <c r="J132" t="s">
        <v>1399</v>
      </c>
      <c r="K132" t="s">
        <v>74</v>
      </c>
      <c r="L132" t="s">
        <v>74</v>
      </c>
      <c r="M132" t="s">
        <v>78</v>
      </c>
      <c r="N132" t="s">
        <v>775</v>
      </c>
      <c r="O132" t="s">
        <v>74</v>
      </c>
      <c r="P132" t="s">
        <v>74</v>
      </c>
      <c r="Q132" t="s">
        <v>74</v>
      </c>
      <c r="R132" t="s">
        <v>74</v>
      </c>
      <c r="S132" t="s">
        <v>74</v>
      </c>
      <c r="T132" t="s">
        <v>74</v>
      </c>
      <c r="U132" t="s">
        <v>1729</v>
      </c>
      <c r="V132" t="s">
        <v>1730</v>
      </c>
      <c r="W132" t="s">
        <v>1731</v>
      </c>
      <c r="X132" t="s">
        <v>1694</v>
      </c>
      <c r="Y132" t="s">
        <v>1732</v>
      </c>
      <c r="Z132" t="s">
        <v>74</v>
      </c>
      <c r="AA132" t="s">
        <v>74</v>
      </c>
      <c r="AB132" t="s">
        <v>74</v>
      </c>
      <c r="AC132" t="s">
        <v>74</v>
      </c>
      <c r="AD132" t="s">
        <v>74</v>
      </c>
      <c r="AE132" t="s">
        <v>74</v>
      </c>
      <c r="AF132" t="s">
        <v>74</v>
      </c>
      <c r="AG132">
        <v>32</v>
      </c>
      <c r="AH132">
        <v>47</v>
      </c>
      <c r="AI132">
        <v>51</v>
      </c>
      <c r="AJ132">
        <v>0</v>
      </c>
      <c r="AK132">
        <v>13</v>
      </c>
      <c r="AL132" t="s">
        <v>806</v>
      </c>
      <c r="AM132" t="s">
        <v>807</v>
      </c>
      <c r="AN132" t="s">
        <v>808</v>
      </c>
      <c r="AO132" t="s">
        <v>1407</v>
      </c>
      <c r="AP132" t="s">
        <v>74</v>
      </c>
      <c r="AQ132" t="s">
        <v>74</v>
      </c>
      <c r="AR132" t="s">
        <v>1409</v>
      </c>
      <c r="AS132" t="s">
        <v>1410</v>
      </c>
      <c r="AT132" t="s">
        <v>74</v>
      </c>
      <c r="AU132">
        <v>2003</v>
      </c>
      <c r="AV132">
        <v>50</v>
      </c>
      <c r="AW132" t="s">
        <v>1675</v>
      </c>
      <c r="AX132" t="s">
        <v>74</v>
      </c>
      <c r="AY132" t="s">
        <v>74</v>
      </c>
      <c r="AZ132" t="s">
        <v>74</v>
      </c>
      <c r="BA132" t="s">
        <v>74</v>
      </c>
      <c r="BB132">
        <v>1799</v>
      </c>
      <c r="BC132">
        <v>1819</v>
      </c>
      <c r="BD132" t="s">
        <v>74</v>
      </c>
      <c r="BE132" t="s">
        <v>1733</v>
      </c>
      <c r="BF132" t="str">
        <f>HYPERLINK("http://dx.doi.org/10.1016/S0967-0645(03)00087-0","http://dx.doi.org/10.1016/S0967-0645(03)00087-0")</f>
        <v>http://dx.doi.org/10.1016/S0967-0645(03)00087-0</v>
      </c>
      <c r="BG132" t="s">
        <v>74</v>
      </c>
      <c r="BH132" t="s">
        <v>74</v>
      </c>
      <c r="BI132">
        <v>21</v>
      </c>
      <c r="BJ132" t="s">
        <v>1394</v>
      </c>
      <c r="BK132" t="s">
        <v>569</v>
      </c>
      <c r="BL132" t="s">
        <v>1394</v>
      </c>
      <c r="BM132" t="s">
        <v>1677</v>
      </c>
      <c r="BN132" t="s">
        <v>74</v>
      </c>
      <c r="BO132" t="s">
        <v>74</v>
      </c>
      <c r="BP132" t="s">
        <v>74</v>
      </c>
      <c r="BQ132" t="s">
        <v>74</v>
      </c>
      <c r="BR132" t="s">
        <v>98</v>
      </c>
      <c r="BS132" t="s">
        <v>1734</v>
      </c>
      <c r="BT132" t="str">
        <f>HYPERLINK("https%3A%2F%2Fwww.webofscience.com%2Fwos%2Fwoscc%2Ffull-record%2FWOS:000183867800012","View Full Record in Web of Science")</f>
        <v>View Full Record in Web of Science</v>
      </c>
    </row>
    <row r="133" spans="1:72" x14ac:dyDescent="0.15">
      <c r="A133" t="s">
        <v>552</v>
      </c>
      <c r="B133" t="s">
        <v>1735</v>
      </c>
      <c r="C133" t="s">
        <v>74</v>
      </c>
      <c r="D133" t="s">
        <v>74</v>
      </c>
      <c r="E133" t="s">
        <v>74</v>
      </c>
      <c r="F133" t="s">
        <v>1735</v>
      </c>
      <c r="G133" t="s">
        <v>74</v>
      </c>
      <c r="H133" t="s">
        <v>74</v>
      </c>
      <c r="I133" t="s">
        <v>1736</v>
      </c>
      <c r="J133" t="s">
        <v>1399</v>
      </c>
      <c r="K133" t="s">
        <v>74</v>
      </c>
      <c r="L133" t="s">
        <v>74</v>
      </c>
      <c r="M133" t="s">
        <v>78</v>
      </c>
      <c r="N133" t="s">
        <v>775</v>
      </c>
      <c r="O133" t="s">
        <v>74</v>
      </c>
      <c r="P133" t="s">
        <v>74</v>
      </c>
      <c r="Q133" t="s">
        <v>74</v>
      </c>
      <c r="R133" t="s">
        <v>74</v>
      </c>
      <c r="S133" t="s">
        <v>74</v>
      </c>
      <c r="T133" t="s">
        <v>74</v>
      </c>
      <c r="U133" t="s">
        <v>1737</v>
      </c>
      <c r="V133" t="s">
        <v>1738</v>
      </c>
      <c r="W133" t="s">
        <v>1739</v>
      </c>
      <c r="X133" t="s">
        <v>1740</v>
      </c>
      <c r="Y133" t="s">
        <v>1741</v>
      </c>
      <c r="Z133" t="s">
        <v>74</v>
      </c>
      <c r="AA133" t="s">
        <v>74</v>
      </c>
      <c r="AB133" t="s">
        <v>1742</v>
      </c>
      <c r="AC133" t="s">
        <v>74</v>
      </c>
      <c r="AD133" t="s">
        <v>74</v>
      </c>
      <c r="AE133" t="s">
        <v>74</v>
      </c>
      <c r="AF133" t="s">
        <v>74</v>
      </c>
      <c r="AG133">
        <v>59</v>
      </c>
      <c r="AH133">
        <v>15</v>
      </c>
      <c r="AI133">
        <v>18</v>
      </c>
      <c r="AJ133">
        <v>0</v>
      </c>
      <c r="AK133">
        <v>12</v>
      </c>
      <c r="AL133" t="s">
        <v>806</v>
      </c>
      <c r="AM133" t="s">
        <v>807</v>
      </c>
      <c r="AN133" t="s">
        <v>808</v>
      </c>
      <c r="AO133" t="s">
        <v>1407</v>
      </c>
      <c r="AP133" t="s">
        <v>74</v>
      </c>
      <c r="AQ133" t="s">
        <v>74</v>
      </c>
      <c r="AR133" t="s">
        <v>1409</v>
      </c>
      <c r="AS133" t="s">
        <v>1410</v>
      </c>
      <c r="AT133" t="s">
        <v>74</v>
      </c>
      <c r="AU133">
        <v>2003</v>
      </c>
      <c r="AV133">
        <v>50</v>
      </c>
      <c r="AW133" t="s">
        <v>1675</v>
      </c>
      <c r="AX133" t="s">
        <v>74</v>
      </c>
      <c r="AY133" t="s">
        <v>74</v>
      </c>
      <c r="AZ133" t="s">
        <v>74</v>
      </c>
      <c r="BA133" t="s">
        <v>74</v>
      </c>
      <c r="BB133">
        <v>1843</v>
      </c>
      <c r="BC133">
        <v>1858</v>
      </c>
      <c r="BD133" t="s">
        <v>74</v>
      </c>
      <c r="BE133" t="s">
        <v>1743</v>
      </c>
      <c r="BF133" t="str">
        <f>HYPERLINK("http://dx.doi.org/10.1016/S0967-0645(03)00094-8","http://dx.doi.org/10.1016/S0967-0645(03)00094-8")</f>
        <v>http://dx.doi.org/10.1016/S0967-0645(03)00094-8</v>
      </c>
      <c r="BG133" t="s">
        <v>74</v>
      </c>
      <c r="BH133" t="s">
        <v>74</v>
      </c>
      <c r="BI133">
        <v>16</v>
      </c>
      <c r="BJ133" t="s">
        <v>1394</v>
      </c>
      <c r="BK133" t="s">
        <v>569</v>
      </c>
      <c r="BL133" t="s">
        <v>1394</v>
      </c>
      <c r="BM133" t="s">
        <v>1677</v>
      </c>
      <c r="BN133" t="s">
        <v>74</v>
      </c>
      <c r="BO133" t="s">
        <v>74</v>
      </c>
      <c r="BP133" t="s">
        <v>74</v>
      </c>
      <c r="BQ133" t="s">
        <v>74</v>
      </c>
      <c r="BR133" t="s">
        <v>98</v>
      </c>
      <c r="BS133" t="s">
        <v>1744</v>
      </c>
      <c r="BT133" t="str">
        <f>HYPERLINK("https%3A%2F%2Fwww.webofscience.com%2Fwos%2Fwoscc%2Ffull-record%2FWOS:000183867800014","View Full Record in Web of Science")</f>
        <v>View Full Record in Web of Science</v>
      </c>
    </row>
    <row r="134" spans="1:72" x14ac:dyDescent="0.15">
      <c r="A134" t="s">
        <v>552</v>
      </c>
      <c r="B134" t="s">
        <v>1745</v>
      </c>
      <c r="C134" t="s">
        <v>74</v>
      </c>
      <c r="D134" t="s">
        <v>74</v>
      </c>
      <c r="E134" t="s">
        <v>74</v>
      </c>
      <c r="F134" t="s">
        <v>1745</v>
      </c>
      <c r="G134" t="s">
        <v>74</v>
      </c>
      <c r="H134" t="s">
        <v>74</v>
      </c>
      <c r="I134" t="s">
        <v>1746</v>
      </c>
      <c r="J134" t="s">
        <v>1399</v>
      </c>
      <c r="K134" t="s">
        <v>74</v>
      </c>
      <c r="L134" t="s">
        <v>74</v>
      </c>
      <c r="M134" t="s">
        <v>78</v>
      </c>
      <c r="N134" t="s">
        <v>775</v>
      </c>
      <c r="O134" t="s">
        <v>74</v>
      </c>
      <c r="P134" t="s">
        <v>74</v>
      </c>
      <c r="Q134" t="s">
        <v>74</v>
      </c>
      <c r="R134" t="s">
        <v>74</v>
      </c>
      <c r="S134" t="s">
        <v>74</v>
      </c>
      <c r="T134" t="s">
        <v>74</v>
      </c>
      <c r="U134" t="s">
        <v>1747</v>
      </c>
      <c r="V134" t="s">
        <v>1748</v>
      </c>
      <c r="W134" t="s">
        <v>1749</v>
      </c>
      <c r="X134" t="s">
        <v>1750</v>
      </c>
      <c r="Y134" t="s">
        <v>1751</v>
      </c>
      <c r="Z134" t="s">
        <v>1752</v>
      </c>
      <c r="AA134" t="s">
        <v>1753</v>
      </c>
      <c r="AB134" t="s">
        <v>1754</v>
      </c>
      <c r="AC134" t="s">
        <v>74</v>
      </c>
      <c r="AD134" t="s">
        <v>74</v>
      </c>
      <c r="AE134" t="s">
        <v>74</v>
      </c>
      <c r="AF134" t="s">
        <v>74</v>
      </c>
      <c r="AG134">
        <v>49</v>
      </c>
      <c r="AH134">
        <v>12</v>
      </c>
      <c r="AI134">
        <v>12</v>
      </c>
      <c r="AJ134">
        <v>2</v>
      </c>
      <c r="AK134">
        <v>15</v>
      </c>
      <c r="AL134" t="s">
        <v>806</v>
      </c>
      <c r="AM134" t="s">
        <v>807</v>
      </c>
      <c r="AN134" t="s">
        <v>808</v>
      </c>
      <c r="AO134" t="s">
        <v>1407</v>
      </c>
      <c r="AP134" t="s">
        <v>1408</v>
      </c>
      <c r="AQ134" t="s">
        <v>74</v>
      </c>
      <c r="AR134" t="s">
        <v>1409</v>
      </c>
      <c r="AS134" t="s">
        <v>1410</v>
      </c>
      <c r="AT134" t="s">
        <v>74</v>
      </c>
      <c r="AU134">
        <v>2003</v>
      </c>
      <c r="AV134">
        <v>50</v>
      </c>
      <c r="AW134" t="s">
        <v>1675</v>
      </c>
      <c r="AX134" t="s">
        <v>74</v>
      </c>
      <c r="AY134" t="s">
        <v>74</v>
      </c>
      <c r="AZ134" t="s">
        <v>74</v>
      </c>
      <c r="BA134" t="s">
        <v>74</v>
      </c>
      <c r="BB134">
        <v>1873</v>
      </c>
      <c r="BC134">
        <v>1888</v>
      </c>
      <c r="BD134" t="s">
        <v>74</v>
      </c>
      <c r="BE134" t="s">
        <v>1755</v>
      </c>
      <c r="BF134" t="str">
        <f>HYPERLINK("http://dx.doi.org/10.1016/S0967-0645(03)00096-1","http://dx.doi.org/10.1016/S0967-0645(03)00096-1")</f>
        <v>http://dx.doi.org/10.1016/S0967-0645(03)00096-1</v>
      </c>
      <c r="BG134" t="s">
        <v>74</v>
      </c>
      <c r="BH134" t="s">
        <v>74</v>
      </c>
      <c r="BI134">
        <v>16</v>
      </c>
      <c r="BJ134" t="s">
        <v>1394</v>
      </c>
      <c r="BK134" t="s">
        <v>569</v>
      </c>
      <c r="BL134" t="s">
        <v>1394</v>
      </c>
      <c r="BM134" t="s">
        <v>1677</v>
      </c>
      <c r="BN134" t="s">
        <v>74</v>
      </c>
      <c r="BO134" t="s">
        <v>74</v>
      </c>
      <c r="BP134" t="s">
        <v>74</v>
      </c>
      <c r="BQ134" t="s">
        <v>74</v>
      </c>
      <c r="BR134" t="s">
        <v>98</v>
      </c>
      <c r="BS134" t="s">
        <v>1756</v>
      </c>
      <c r="BT134" t="str">
        <f>HYPERLINK("https%3A%2F%2Fwww.webofscience.com%2Fwos%2Fwoscc%2Ffull-record%2FWOS:000183867800016","View Full Record in Web of Science")</f>
        <v>View Full Record in Web of Science</v>
      </c>
    </row>
    <row r="135" spans="1:72" x14ac:dyDescent="0.15">
      <c r="A135" t="s">
        <v>552</v>
      </c>
      <c r="B135" t="s">
        <v>1757</v>
      </c>
      <c r="C135" t="s">
        <v>74</v>
      </c>
      <c r="D135" t="s">
        <v>74</v>
      </c>
      <c r="E135" t="s">
        <v>74</v>
      </c>
      <c r="F135" t="s">
        <v>1757</v>
      </c>
      <c r="G135" t="s">
        <v>74</v>
      </c>
      <c r="H135" t="s">
        <v>74</v>
      </c>
      <c r="I135" t="s">
        <v>1758</v>
      </c>
      <c r="J135" t="s">
        <v>1399</v>
      </c>
      <c r="K135" t="s">
        <v>74</v>
      </c>
      <c r="L135" t="s">
        <v>74</v>
      </c>
      <c r="M135" t="s">
        <v>78</v>
      </c>
      <c r="N135" t="s">
        <v>775</v>
      </c>
      <c r="O135" t="s">
        <v>74</v>
      </c>
      <c r="P135" t="s">
        <v>74</v>
      </c>
      <c r="Q135" t="s">
        <v>74</v>
      </c>
      <c r="R135" t="s">
        <v>74</v>
      </c>
      <c r="S135" t="s">
        <v>74</v>
      </c>
      <c r="T135" t="s">
        <v>74</v>
      </c>
      <c r="U135" t="s">
        <v>1759</v>
      </c>
      <c r="V135" t="s">
        <v>1760</v>
      </c>
      <c r="W135" t="s">
        <v>1761</v>
      </c>
      <c r="X135" t="s">
        <v>1762</v>
      </c>
      <c r="Y135" t="s">
        <v>1763</v>
      </c>
      <c r="Z135" t="s">
        <v>74</v>
      </c>
      <c r="AA135" t="s">
        <v>74</v>
      </c>
      <c r="AB135" t="s">
        <v>1764</v>
      </c>
      <c r="AC135" t="s">
        <v>74</v>
      </c>
      <c r="AD135" t="s">
        <v>74</v>
      </c>
      <c r="AE135" t="s">
        <v>74</v>
      </c>
      <c r="AF135" t="s">
        <v>74</v>
      </c>
      <c r="AG135">
        <v>56</v>
      </c>
      <c r="AH135">
        <v>126</v>
      </c>
      <c r="AI135">
        <v>149</v>
      </c>
      <c r="AJ135">
        <v>1</v>
      </c>
      <c r="AK135">
        <v>24</v>
      </c>
      <c r="AL135" t="s">
        <v>806</v>
      </c>
      <c r="AM135" t="s">
        <v>807</v>
      </c>
      <c r="AN135" t="s">
        <v>808</v>
      </c>
      <c r="AO135" t="s">
        <v>1407</v>
      </c>
      <c r="AP135" t="s">
        <v>74</v>
      </c>
      <c r="AQ135" t="s">
        <v>74</v>
      </c>
      <c r="AR135" t="s">
        <v>1409</v>
      </c>
      <c r="AS135" t="s">
        <v>1410</v>
      </c>
      <c r="AT135" t="s">
        <v>74</v>
      </c>
      <c r="AU135">
        <v>2003</v>
      </c>
      <c r="AV135">
        <v>50</v>
      </c>
      <c r="AW135" t="s">
        <v>1765</v>
      </c>
      <c r="AX135" t="s">
        <v>74</v>
      </c>
      <c r="AY135" t="s">
        <v>74</v>
      </c>
      <c r="AZ135" t="s">
        <v>74</v>
      </c>
      <c r="BA135" t="s">
        <v>74</v>
      </c>
      <c r="BB135">
        <v>3103</v>
      </c>
      <c r="BC135">
        <v>3120</v>
      </c>
      <c r="BD135" t="s">
        <v>74</v>
      </c>
      <c r="BE135" t="s">
        <v>1766</v>
      </c>
      <c r="BF135" t="str">
        <f>HYPERLINK("http://dx.doi.org/10.1016/j.dsr2.2003.07.011","http://dx.doi.org/10.1016/j.dsr2.2003.07.011")</f>
        <v>http://dx.doi.org/10.1016/j.dsr2.2003.07.011</v>
      </c>
      <c r="BG135" t="s">
        <v>74</v>
      </c>
      <c r="BH135" t="s">
        <v>74</v>
      </c>
      <c r="BI135">
        <v>18</v>
      </c>
      <c r="BJ135" t="s">
        <v>1394</v>
      </c>
      <c r="BK135" t="s">
        <v>569</v>
      </c>
      <c r="BL135" t="s">
        <v>1394</v>
      </c>
      <c r="BM135" t="s">
        <v>1767</v>
      </c>
      <c r="BN135" t="s">
        <v>74</v>
      </c>
      <c r="BO135" t="s">
        <v>74</v>
      </c>
      <c r="BP135" t="s">
        <v>74</v>
      </c>
      <c r="BQ135" t="s">
        <v>74</v>
      </c>
      <c r="BR135" t="s">
        <v>98</v>
      </c>
      <c r="BS135" t="s">
        <v>1768</v>
      </c>
      <c r="BT135" t="str">
        <f>HYPERLINK("https%3A%2F%2Fwww.webofscience.com%2Fwos%2Fwoscc%2Ffull-record%2FWOS:000187607400012","View Full Record in Web of Science")</f>
        <v>View Full Record in Web of Science</v>
      </c>
    </row>
    <row r="136" spans="1:72" x14ac:dyDescent="0.15">
      <c r="A136" t="s">
        <v>552</v>
      </c>
      <c r="B136" t="s">
        <v>1769</v>
      </c>
      <c r="C136" t="s">
        <v>74</v>
      </c>
      <c r="D136" t="s">
        <v>74</v>
      </c>
      <c r="E136" t="s">
        <v>74</v>
      </c>
      <c r="F136" t="s">
        <v>1769</v>
      </c>
      <c r="G136" t="s">
        <v>74</v>
      </c>
      <c r="H136" t="s">
        <v>74</v>
      </c>
      <c r="I136" t="s">
        <v>1770</v>
      </c>
      <c r="J136" t="s">
        <v>1399</v>
      </c>
      <c r="K136" t="s">
        <v>74</v>
      </c>
      <c r="L136" t="s">
        <v>74</v>
      </c>
      <c r="M136" t="s">
        <v>78</v>
      </c>
      <c r="N136" t="s">
        <v>775</v>
      </c>
      <c r="O136" t="s">
        <v>74</v>
      </c>
      <c r="P136" t="s">
        <v>74</v>
      </c>
      <c r="Q136" t="s">
        <v>74</v>
      </c>
      <c r="R136" t="s">
        <v>74</v>
      </c>
      <c r="S136" t="s">
        <v>74</v>
      </c>
      <c r="T136" t="s">
        <v>74</v>
      </c>
      <c r="U136" t="s">
        <v>1771</v>
      </c>
      <c r="V136" t="s">
        <v>1772</v>
      </c>
      <c r="W136" t="s">
        <v>1773</v>
      </c>
      <c r="X136" t="s">
        <v>1774</v>
      </c>
      <c r="Y136" t="s">
        <v>1775</v>
      </c>
      <c r="Z136" t="s">
        <v>74</v>
      </c>
      <c r="AA136" t="s">
        <v>1776</v>
      </c>
      <c r="AB136" t="s">
        <v>1777</v>
      </c>
      <c r="AC136" t="s">
        <v>74</v>
      </c>
      <c r="AD136" t="s">
        <v>74</v>
      </c>
      <c r="AE136" t="s">
        <v>74</v>
      </c>
      <c r="AF136" t="s">
        <v>74</v>
      </c>
      <c r="AG136">
        <v>55</v>
      </c>
      <c r="AH136">
        <v>67</v>
      </c>
      <c r="AI136">
        <v>78</v>
      </c>
      <c r="AJ136">
        <v>0</v>
      </c>
      <c r="AK136">
        <v>29</v>
      </c>
      <c r="AL136" t="s">
        <v>806</v>
      </c>
      <c r="AM136" t="s">
        <v>807</v>
      </c>
      <c r="AN136" t="s">
        <v>808</v>
      </c>
      <c r="AO136" t="s">
        <v>1407</v>
      </c>
      <c r="AP136" t="s">
        <v>74</v>
      </c>
      <c r="AQ136" t="s">
        <v>74</v>
      </c>
      <c r="AR136" t="s">
        <v>1409</v>
      </c>
      <c r="AS136" t="s">
        <v>1410</v>
      </c>
      <c r="AT136" t="s">
        <v>74</v>
      </c>
      <c r="AU136">
        <v>2003</v>
      </c>
      <c r="AV136">
        <v>50</v>
      </c>
      <c r="AW136" t="s">
        <v>1765</v>
      </c>
      <c r="AX136" t="s">
        <v>74</v>
      </c>
      <c r="AY136" t="s">
        <v>74</v>
      </c>
      <c r="AZ136" t="s">
        <v>74</v>
      </c>
      <c r="BA136" t="s">
        <v>74</v>
      </c>
      <c r="BB136">
        <v>3121</v>
      </c>
      <c r="BC136">
        <v>3142</v>
      </c>
      <c r="BD136" t="s">
        <v>74</v>
      </c>
      <c r="BE136" t="s">
        <v>1778</v>
      </c>
      <c r="BF136" t="str">
        <f>HYPERLINK("http://dx.doi.org/10.1016/j.dsr2.2003.07.012","http://dx.doi.org/10.1016/j.dsr2.2003.07.012")</f>
        <v>http://dx.doi.org/10.1016/j.dsr2.2003.07.012</v>
      </c>
      <c r="BG136" t="s">
        <v>74</v>
      </c>
      <c r="BH136" t="s">
        <v>74</v>
      </c>
      <c r="BI136">
        <v>22</v>
      </c>
      <c r="BJ136" t="s">
        <v>1394</v>
      </c>
      <c r="BK136" t="s">
        <v>569</v>
      </c>
      <c r="BL136" t="s">
        <v>1394</v>
      </c>
      <c r="BM136" t="s">
        <v>1767</v>
      </c>
      <c r="BN136" t="s">
        <v>74</v>
      </c>
      <c r="BO136" t="s">
        <v>74</v>
      </c>
      <c r="BP136" t="s">
        <v>74</v>
      </c>
      <c r="BQ136" t="s">
        <v>74</v>
      </c>
      <c r="BR136" t="s">
        <v>98</v>
      </c>
      <c r="BS136" t="s">
        <v>1779</v>
      </c>
      <c r="BT136" t="str">
        <f>HYPERLINK("https%3A%2F%2Fwww.webofscience.com%2Fwos%2Fwoscc%2Ffull-record%2FWOS:000187607400013","View Full Record in Web of Science")</f>
        <v>View Full Record in Web of Science</v>
      </c>
    </row>
    <row r="137" spans="1:72" x14ac:dyDescent="0.15">
      <c r="A137" t="s">
        <v>552</v>
      </c>
      <c r="B137" t="s">
        <v>1780</v>
      </c>
      <c r="C137" t="s">
        <v>74</v>
      </c>
      <c r="D137" t="s">
        <v>74</v>
      </c>
      <c r="E137" t="s">
        <v>74</v>
      </c>
      <c r="F137" t="s">
        <v>1780</v>
      </c>
      <c r="G137" t="s">
        <v>74</v>
      </c>
      <c r="H137" t="s">
        <v>74</v>
      </c>
      <c r="I137" t="s">
        <v>1781</v>
      </c>
      <c r="J137" t="s">
        <v>1399</v>
      </c>
      <c r="K137" t="s">
        <v>74</v>
      </c>
      <c r="L137" t="s">
        <v>74</v>
      </c>
      <c r="M137" t="s">
        <v>78</v>
      </c>
      <c r="N137" t="s">
        <v>1114</v>
      </c>
      <c r="O137" t="s">
        <v>74</v>
      </c>
      <c r="P137" t="s">
        <v>74</v>
      </c>
      <c r="Q137" t="s">
        <v>74</v>
      </c>
      <c r="R137" t="s">
        <v>74</v>
      </c>
      <c r="S137" t="s">
        <v>74</v>
      </c>
      <c r="T137" t="s">
        <v>74</v>
      </c>
      <c r="U137" t="s">
        <v>1782</v>
      </c>
      <c r="V137" t="s">
        <v>1783</v>
      </c>
      <c r="W137" t="s">
        <v>1784</v>
      </c>
      <c r="X137" t="s">
        <v>1785</v>
      </c>
      <c r="Y137" t="s">
        <v>1786</v>
      </c>
      <c r="Z137" t="s">
        <v>74</v>
      </c>
      <c r="AA137" t="s">
        <v>1787</v>
      </c>
      <c r="AB137" t="s">
        <v>1788</v>
      </c>
      <c r="AC137" t="s">
        <v>74</v>
      </c>
      <c r="AD137" t="s">
        <v>74</v>
      </c>
      <c r="AE137" t="s">
        <v>74</v>
      </c>
      <c r="AF137" t="s">
        <v>74</v>
      </c>
      <c r="AG137">
        <v>124</v>
      </c>
      <c r="AH137">
        <v>183</v>
      </c>
      <c r="AI137">
        <v>198</v>
      </c>
      <c r="AJ137">
        <v>1</v>
      </c>
      <c r="AK137">
        <v>58</v>
      </c>
      <c r="AL137" t="s">
        <v>806</v>
      </c>
      <c r="AM137" t="s">
        <v>807</v>
      </c>
      <c r="AN137" t="s">
        <v>808</v>
      </c>
      <c r="AO137" t="s">
        <v>1407</v>
      </c>
      <c r="AP137" t="s">
        <v>74</v>
      </c>
      <c r="AQ137" t="s">
        <v>74</v>
      </c>
      <c r="AR137" t="s">
        <v>1409</v>
      </c>
      <c r="AS137" t="s">
        <v>1410</v>
      </c>
      <c r="AT137" t="s">
        <v>74</v>
      </c>
      <c r="AU137">
        <v>2003</v>
      </c>
      <c r="AV137">
        <v>50</v>
      </c>
      <c r="AW137" t="s">
        <v>1765</v>
      </c>
      <c r="AX137" t="s">
        <v>74</v>
      </c>
      <c r="AY137" t="s">
        <v>74</v>
      </c>
      <c r="AZ137" t="s">
        <v>74</v>
      </c>
      <c r="BA137" t="s">
        <v>74</v>
      </c>
      <c r="BB137">
        <v>3143</v>
      </c>
      <c r="BC137">
        <v>3169</v>
      </c>
      <c r="BD137" t="s">
        <v>74</v>
      </c>
      <c r="BE137" t="s">
        <v>1789</v>
      </c>
      <c r="BF137" t="str">
        <f>HYPERLINK("http://dx.doi.org/10.1016/j.dsr2.2003.07.013","http://dx.doi.org/10.1016/j.dsr2.2003.07.013")</f>
        <v>http://dx.doi.org/10.1016/j.dsr2.2003.07.013</v>
      </c>
      <c r="BG137" t="s">
        <v>74</v>
      </c>
      <c r="BH137" t="s">
        <v>74</v>
      </c>
      <c r="BI137">
        <v>27</v>
      </c>
      <c r="BJ137" t="s">
        <v>1394</v>
      </c>
      <c r="BK137" t="s">
        <v>569</v>
      </c>
      <c r="BL137" t="s">
        <v>1394</v>
      </c>
      <c r="BM137" t="s">
        <v>1767</v>
      </c>
      <c r="BN137" t="s">
        <v>74</v>
      </c>
      <c r="BO137" t="s">
        <v>74</v>
      </c>
      <c r="BP137" t="s">
        <v>74</v>
      </c>
      <c r="BQ137" t="s">
        <v>74</v>
      </c>
      <c r="BR137" t="s">
        <v>98</v>
      </c>
      <c r="BS137" t="s">
        <v>1790</v>
      </c>
      <c r="BT137" t="str">
        <f>HYPERLINK("https%3A%2F%2Fwww.webofscience.com%2Fwos%2Fwoscc%2Ffull-record%2FWOS:000187607400014","View Full Record in Web of Science")</f>
        <v>View Full Record in Web of Science</v>
      </c>
    </row>
    <row r="138" spans="1:72" x14ac:dyDescent="0.15">
      <c r="A138" t="s">
        <v>552</v>
      </c>
      <c r="B138" t="s">
        <v>1632</v>
      </c>
      <c r="C138" t="s">
        <v>74</v>
      </c>
      <c r="D138" t="s">
        <v>74</v>
      </c>
      <c r="E138" t="s">
        <v>74</v>
      </c>
      <c r="F138" t="s">
        <v>1632</v>
      </c>
      <c r="G138" t="s">
        <v>74</v>
      </c>
      <c r="H138" t="s">
        <v>74</v>
      </c>
      <c r="I138" t="s">
        <v>1791</v>
      </c>
      <c r="J138" t="s">
        <v>1399</v>
      </c>
      <c r="K138" t="s">
        <v>74</v>
      </c>
      <c r="L138" t="s">
        <v>74</v>
      </c>
      <c r="M138" t="s">
        <v>78</v>
      </c>
      <c r="N138" t="s">
        <v>1792</v>
      </c>
      <c r="O138" t="s">
        <v>74</v>
      </c>
      <c r="P138" t="s">
        <v>74</v>
      </c>
      <c r="Q138" t="s">
        <v>74</v>
      </c>
      <c r="R138" t="s">
        <v>74</v>
      </c>
      <c r="S138" t="s">
        <v>74</v>
      </c>
      <c r="T138" t="s">
        <v>74</v>
      </c>
      <c r="U138" t="s">
        <v>74</v>
      </c>
      <c r="V138" t="s">
        <v>74</v>
      </c>
      <c r="W138" t="s">
        <v>1793</v>
      </c>
      <c r="X138" t="s">
        <v>1794</v>
      </c>
      <c r="Y138" t="s">
        <v>1795</v>
      </c>
      <c r="Z138" t="s">
        <v>74</v>
      </c>
      <c r="AA138" t="s">
        <v>1796</v>
      </c>
      <c r="AB138" t="s">
        <v>1797</v>
      </c>
      <c r="AC138" t="s">
        <v>74</v>
      </c>
      <c r="AD138" t="s">
        <v>74</v>
      </c>
      <c r="AE138" t="s">
        <v>74</v>
      </c>
      <c r="AF138" t="s">
        <v>74</v>
      </c>
      <c r="AG138">
        <v>1</v>
      </c>
      <c r="AH138">
        <v>1</v>
      </c>
      <c r="AI138">
        <v>1</v>
      </c>
      <c r="AJ138">
        <v>0</v>
      </c>
      <c r="AK138">
        <v>4</v>
      </c>
      <c r="AL138" t="s">
        <v>806</v>
      </c>
      <c r="AM138" t="s">
        <v>807</v>
      </c>
      <c r="AN138" t="s">
        <v>808</v>
      </c>
      <c r="AO138" t="s">
        <v>1407</v>
      </c>
      <c r="AP138" t="s">
        <v>74</v>
      </c>
      <c r="AQ138" t="s">
        <v>74</v>
      </c>
      <c r="AR138" t="s">
        <v>1409</v>
      </c>
      <c r="AS138" t="s">
        <v>1410</v>
      </c>
      <c r="AT138" t="s">
        <v>74</v>
      </c>
      <c r="AU138">
        <v>2003</v>
      </c>
      <c r="AV138">
        <v>50</v>
      </c>
      <c r="AW138" t="s">
        <v>1765</v>
      </c>
      <c r="AX138" t="s">
        <v>74</v>
      </c>
      <c r="AY138" t="s">
        <v>74</v>
      </c>
      <c r="AZ138" t="s">
        <v>74</v>
      </c>
      <c r="BA138" t="s">
        <v>74</v>
      </c>
      <c r="BB138">
        <v>3225</v>
      </c>
      <c r="BC138">
        <v>3226</v>
      </c>
      <c r="BD138" t="s">
        <v>74</v>
      </c>
      <c r="BE138" t="s">
        <v>1798</v>
      </c>
      <c r="BF138" t="str">
        <f>HYPERLINK("http://dx.doi.org/10.1016/j.dsr2.2003.10.001","http://dx.doi.org/10.1016/j.dsr2.2003.10.001")</f>
        <v>http://dx.doi.org/10.1016/j.dsr2.2003.10.001</v>
      </c>
      <c r="BG138" t="s">
        <v>74</v>
      </c>
      <c r="BH138" t="s">
        <v>74</v>
      </c>
      <c r="BI138">
        <v>2</v>
      </c>
      <c r="BJ138" t="s">
        <v>1394</v>
      </c>
      <c r="BK138" t="s">
        <v>569</v>
      </c>
      <c r="BL138" t="s">
        <v>1394</v>
      </c>
      <c r="BM138" t="s">
        <v>1767</v>
      </c>
      <c r="BN138" t="s">
        <v>74</v>
      </c>
      <c r="BO138" t="s">
        <v>74</v>
      </c>
      <c r="BP138" t="s">
        <v>74</v>
      </c>
      <c r="BQ138" t="s">
        <v>74</v>
      </c>
      <c r="BR138" t="s">
        <v>98</v>
      </c>
      <c r="BS138" t="s">
        <v>1799</v>
      </c>
      <c r="BT138" t="str">
        <f>HYPERLINK("https%3A%2F%2Fwww.webofscience.com%2Fwos%2Fwoscc%2Ffull-record%2FWOS:000187607400018","View Full Record in Web of Science")</f>
        <v>View Full Record in Web of Science</v>
      </c>
    </row>
    <row r="139" spans="1:72" x14ac:dyDescent="0.15">
      <c r="A139" t="s">
        <v>552</v>
      </c>
      <c r="B139" t="s">
        <v>1800</v>
      </c>
      <c r="C139" t="s">
        <v>74</v>
      </c>
      <c r="D139" t="s">
        <v>74</v>
      </c>
      <c r="E139" t="s">
        <v>74</v>
      </c>
      <c r="F139" t="s">
        <v>1800</v>
      </c>
      <c r="G139" t="s">
        <v>74</v>
      </c>
      <c r="H139" t="s">
        <v>74</v>
      </c>
      <c r="I139" t="s">
        <v>1801</v>
      </c>
      <c r="J139" t="s">
        <v>1802</v>
      </c>
      <c r="K139" t="s">
        <v>74</v>
      </c>
      <c r="L139" t="s">
        <v>74</v>
      </c>
      <c r="M139" t="s">
        <v>78</v>
      </c>
      <c r="N139" t="s">
        <v>775</v>
      </c>
      <c r="O139" t="s">
        <v>74</v>
      </c>
      <c r="P139" t="s">
        <v>74</v>
      </c>
      <c r="Q139" t="s">
        <v>74</v>
      </c>
      <c r="R139" t="s">
        <v>74</v>
      </c>
      <c r="S139" t="s">
        <v>74</v>
      </c>
      <c r="T139" t="s">
        <v>74</v>
      </c>
      <c r="U139" t="s">
        <v>1803</v>
      </c>
      <c r="V139" t="s">
        <v>74</v>
      </c>
      <c r="W139" t="s">
        <v>1804</v>
      </c>
      <c r="X139" t="s">
        <v>1805</v>
      </c>
      <c r="Y139" t="s">
        <v>1806</v>
      </c>
      <c r="Z139" t="s">
        <v>74</v>
      </c>
      <c r="AA139" t="s">
        <v>74</v>
      </c>
      <c r="AB139" t="s">
        <v>74</v>
      </c>
      <c r="AC139" t="s">
        <v>74</v>
      </c>
      <c r="AD139" t="s">
        <v>74</v>
      </c>
      <c r="AE139" t="s">
        <v>74</v>
      </c>
      <c r="AF139" t="s">
        <v>74</v>
      </c>
      <c r="AG139">
        <v>14</v>
      </c>
      <c r="AH139">
        <v>4</v>
      </c>
      <c r="AI139">
        <v>4</v>
      </c>
      <c r="AJ139">
        <v>0</v>
      </c>
      <c r="AK139">
        <v>2</v>
      </c>
      <c r="AL139" t="s">
        <v>1807</v>
      </c>
      <c r="AM139" t="s">
        <v>1808</v>
      </c>
      <c r="AN139" t="s">
        <v>1809</v>
      </c>
      <c r="AO139" t="s">
        <v>1810</v>
      </c>
      <c r="AP139" t="s">
        <v>74</v>
      </c>
      <c r="AQ139" t="s">
        <v>74</v>
      </c>
      <c r="AR139" t="s">
        <v>1811</v>
      </c>
      <c r="AS139" t="s">
        <v>1812</v>
      </c>
      <c r="AT139" t="s">
        <v>790</v>
      </c>
      <c r="AU139">
        <v>2003</v>
      </c>
      <c r="AV139">
        <v>388</v>
      </c>
      <c r="AW139">
        <v>1</v>
      </c>
      <c r="AX139" t="s">
        <v>74</v>
      </c>
      <c r="AY139" t="s">
        <v>74</v>
      </c>
      <c r="AZ139" t="s">
        <v>74</v>
      </c>
      <c r="BA139" t="s">
        <v>74</v>
      </c>
      <c r="BB139">
        <v>89</v>
      </c>
      <c r="BC139">
        <v>92</v>
      </c>
      <c r="BD139" t="s">
        <v>74</v>
      </c>
      <c r="BE139" t="s">
        <v>74</v>
      </c>
      <c r="BF139" t="s">
        <v>74</v>
      </c>
      <c r="BG139" t="s">
        <v>74</v>
      </c>
      <c r="BH139" t="s">
        <v>74</v>
      </c>
      <c r="BI139">
        <v>4</v>
      </c>
      <c r="BJ139" t="s">
        <v>1813</v>
      </c>
      <c r="BK139" t="s">
        <v>569</v>
      </c>
      <c r="BL139" t="s">
        <v>1814</v>
      </c>
      <c r="BM139" t="s">
        <v>1815</v>
      </c>
      <c r="BN139" t="s">
        <v>74</v>
      </c>
      <c r="BO139" t="s">
        <v>74</v>
      </c>
      <c r="BP139" t="s">
        <v>74</v>
      </c>
      <c r="BQ139" t="s">
        <v>74</v>
      </c>
      <c r="BR139" t="s">
        <v>98</v>
      </c>
      <c r="BS139" t="s">
        <v>1816</v>
      </c>
      <c r="BT139" t="str">
        <f>HYPERLINK("https%3A%2F%2Fwww.webofscience.com%2Fwos%2Fwoscc%2Ffull-record%2FWOS:000181053500023","View Full Record in Web of Science")</f>
        <v>View Full Record in Web of Science</v>
      </c>
    </row>
    <row r="140" spans="1:72" x14ac:dyDescent="0.15">
      <c r="A140" t="s">
        <v>552</v>
      </c>
      <c r="B140" t="s">
        <v>1817</v>
      </c>
      <c r="C140" t="s">
        <v>74</v>
      </c>
      <c r="D140" t="s">
        <v>74</v>
      </c>
      <c r="E140" t="s">
        <v>74</v>
      </c>
      <c r="F140" t="s">
        <v>1817</v>
      </c>
      <c r="G140" t="s">
        <v>74</v>
      </c>
      <c r="H140" t="s">
        <v>74</v>
      </c>
      <c r="I140" t="s">
        <v>1818</v>
      </c>
      <c r="J140" t="s">
        <v>1802</v>
      </c>
      <c r="K140" t="s">
        <v>74</v>
      </c>
      <c r="L140" t="s">
        <v>74</v>
      </c>
      <c r="M140" t="s">
        <v>78</v>
      </c>
      <c r="N140" t="s">
        <v>775</v>
      </c>
      <c r="O140" t="s">
        <v>74</v>
      </c>
      <c r="P140" t="s">
        <v>74</v>
      </c>
      <c r="Q140" t="s">
        <v>74</v>
      </c>
      <c r="R140" t="s">
        <v>74</v>
      </c>
      <c r="S140" t="s">
        <v>74</v>
      </c>
      <c r="T140" t="s">
        <v>74</v>
      </c>
      <c r="U140" t="s">
        <v>1819</v>
      </c>
      <c r="V140" t="s">
        <v>74</v>
      </c>
      <c r="W140" t="s">
        <v>1820</v>
      </c>
      <c r="X140" t="s">
        <v>1805</v>
      </c>
      <c r="Y140" t="s">
        <v>1821</v>
      </c>
      <c r="Z140" t="s">
        <v>74</v>
      </c>
      <c r="AA140" t="s">
        <v>74</v>
      </c>
      <c r="AB140" t="s">
        <v>74</v>
      </c>
      <c r="AC140" t="s">
        <v>74</v>
      </c>
      <c r="AD140" t="s">
        <v>74</v>
      </c>
      <c r="AE140" t="s">
        <v>74</v>
      </c>
      <c r="AF140" t="s">
        <v>74</v>
      </c>
      <c r="AG140">
        <v>15</v>
      </c>
      <c r="AH140">
        <v>2</v>
      </c>
      <c r="AI140">
        <v>2</v>
      </c>
      <c r="AJ140">
        <v>0</v>
      </c>
      <c r="AK140">
        <v>0</v>
      </c>
      <c r="AL140" t="s">
        <v>1807</v>
      </c>
      <c r="AM140" t="s">
        <v>1808</v>
      </c>
      <c r="AN140" t="s">
        <v>1809</v>
      </c>
      <c r="AO140" t="s">
        <v>1810</v>
      </c>
      <c r="AP140" t="s">
        <v>74</v>
      </c>
      <c r="AQ140" t="s">
        <v>74</v>
      </c>
      <c r="AR140" t="s">
        <v>1811</v>
      </c>
      <c r="AS140" t="s">
        <v>1812</v>
      </c>
      <c r="AT140" t="s">
        <v>790</v>
      </c>
      <c r="AU140">
        <v>2003</v>
      </c>
      <c r="AV140">
        <v>388</v>
      </c>
      <c r="AW140">
        <v>1</v>
      </c>
      <c r="AX140" t="s">
        <v>74</v>
      </c>
      <c r="AY140" t="s">
        <v>74</v>
      </c>
      <c r="AZ140" t="s">
        <v>74</v>
      </c>
      <c r="BA140" t="s">
        <v>74</v>
      </c>
      <c r="BB140">
        <v>121</v>
      </c>
      <c r="BC140">
        <v>125</v>
      </c>
      <c r="BD140" t="s">
        <v>74</v>
      </c>
      <c r="BE140" t="s">
        <v>74</v>
      </c>
      <c r="BF140" t="s">
        <v>74</v>
      </c>
      <c r="BG140" t="s">
        <v>74</v>
      </c>
      <c r="BH140" t="s">
        <v>74</v>
      </c>
      <c r="BI140">
        <v>5</v>
      </c>
      <c r="BJ140" t="s">
        <v>1813</v>
      </c>
      <c r="BK140" t="s">
        <v>569</v>
      </c>
      <c r="BL140" t="s">
        <v>1814</v>
      </c>
      <c r="BM140" t="s">
        <v>1815</v>
      </c>
      <c r="BN140" t="s">
        <v>74</v>
      </c>
      <c r="BO140" t="s">
        <v>74</v>
      </c>
      <c r="BP140" t="s">
        <v>74</v>
      </c>
      <c r="BQ140" t="s">
        <v>74</v>
      </c>
      <c r="BR140" t="s">
        <v>98</v>
      </c>
      <c r="BS140" t="s">
        <v>1822</v>
      </c>
      <c r="BT140" t="str">
        <f>HYPERLINK("https%3A%2F%2Fwww.webofscience.com%2Fwos%2Fwoscc%2Ffull-record%2FWOS:000181053500031","View Full Record in Web of Science")</f>
        <v>View Full Record in Web of Science</v>
      </c>
    </row>
    <row r="141" spans="1:72" x14ac:dyDescent="0.15">
      <c r="A141" t="s">
        <v>72</v>
      </c>
      <c r="B141" t="s">
        <v>1823</v>
      </c>
      <c r="C141" t="s">
        <v>74</v>
      </c>
      <c r="D141" t="s">
        <v>1824</v>
      </c>
      <c r="E141" t="s">
        <v>74</v>
      </c>
      <c r="F141" t="s">
        <v>1823</v>
      </c>
      <c r="G141" t="s">
        <v>74</v>
      </c>
      <c r="H141" t="s">
        <v>74</v>
      </c>
      <c r="I141" t="s">
        <v>1825</v>
      </c>
      <c r="J141" t="s">
        <v>1826</v>
      </c>
      <c r="K141" t="s">
        <v>1827</v>
      </c>
      <c r="L141" t="s">
        <v>74</v>
      </c>
      <c r="M141" t="s">
        <v>78</v>
      </c>
      <c r="N141" t="s">
        <v>79</v>
      </c>
      <c r="O141" t="s">
        <v>1828</v>
      </c>
      <c r="P141" t="s">
        <v>1829</v>
      </c>
      <c r="Q141" t="s">
        <v>1830</v>
      </c>
      <c r="R141" t="s">
        <v>74</v>
      </c>
      <c r="S141" t="s">
        <v>74</v>
      </c>
      <c r="T141" t="s">
        <v>1831</v>
      </c>
      <c r="U141" t="s">
        <v>74</v>
      </c>
      <c r="V141" t="s">
        <v>1832</v>
      </c>
      <c r="W141" t="s">
        <v>1833</v>
      </c>
      <c r="X141" t="s">
        <v>1834</v>
      </c>
      <c r="Y141" t="s">
        <v>1835</v>
      </c>
      <c r="Z141" t="s">
        <v>74</v>
      </c>
      <c r="AA141" t="s">
        <v>1836</v>
      </c>
      <c r="AB141" t="s">
        <v>1837</v>
      </c>
      <c r="AC141" t="s">
        <v>74</v>
      </c>
      <c r="AD141" t="s">
        <v>74</v>
      </c>
      <c r="AE141" t="s">
        <v>74</v>
      </c>
      <c r="AF141" t="s">
        <v>74</v>
      </c>
      <c r="AG141">
        <v>10</v>
      </c>
      <c r="AH141">
        <v>2</v>
      </c>
      <c r="AI141">
        <v>2</v>
      </c>
      <c r="AJ141">
        <v>0</v>
      </c>
      <c r="AK141">
        <v>2</v>
      </c>
      <c r="AL141" t="s">
        <v>1838</v>
      </c>
      <c r="AM141" t="s">
        <v>1839</v>
      </c>
      <c r="AN141" t="s">
        <v>1840</v>
      </c>
      <c r="AO141" t="s">
        <v>1841</v>
      </c>
      <c r="AP141" t="s">
        <v>74</v>
      </c>
      <c r="AQ141" t="s">
        <v>1842</v>
      </c>
      <c r="AR141" t="s">
        <v>1843</v>
      </c>
      <c r="AS141" t="s">
        <v>74</v>
      </c>
      <c r="AT141" t="s">
        <v>74</v>
      </c>
      <c r="AU141">
        <v>2003</v>
      </c>
      <c r="AV141">
        <v>5151</v>
      </c>
      <c r="AW141" t="s">
        <v>74</v>
      </c>
      <c r="AX141" t="s">
        <v>74</v>
      </c>
      <c r="AY141" t="s">
        <v>74</v>
      </c>
      <c r="AZ141" t="s">
        <v>74</v>
      </c>
      <c r="BA141" t="s">
        <v>74</v>
      </c>
      <c r="BB141">
        <v>85</v>
      </c>
      <c r="BC141">
        <v>93</v>
      </c>
      <c r="BD141" t="s">
        <v>74</v>
      </c>
      <c r="BE141" t="s">
        <v>1844</v>
      </c>
      <c r="BF141" t="str">
        <f>HYPERLINK("http://dx.doi.org/10.1117/12.506291","http://dx.doi.org/10.1117/12.506291")</f>
        <v>http://dx.doi.org/10.1117/12.506291</v>
      </c>
      <c r="BG141" t="s">
        <v>74</v>
      </c>
      <c r="BH141" t="s">
        <v>74</v>
      </c>
      <c r="BI141">
        <v>9</v>
      </c>
      <c r="BJ141" t="s">
        <v>1845</v>
      </c>
      <c r="BK141" t="s">
        <v>95</v>
      </c>
      <c r="BL141" t="s">
        <v>1846</v>
      </c>
      <c r="BM141" t="s">
        <v>1847</v>
      </c>
      <c r="BN141" t="s">
        <v>74</v>
      </c>
      <c r="BO141" t="s">
        <v>74</v>
      </c>
      <c r="BP141" t="s">
        <v>74</v>
      </c>
      <c r="BQ141" t="s">
        <v>74</v>
      </c>
      <c r="BR141" t="s">
        <v>98</v>
      </c>
      <c r="BS141" t="s">
        <v>1848</v>
      </c>
      <c r="BT141" t="str">
        <f>HYPERLINK("https%3A%2F%2Fwww.webofscience.com%2Fwos%2Fwoscc%2Ffull-record%2FWOS:000187838100009","View Full Record in Web of Science")</f>
        <v>View Full Record in Web of Science</v>
      </c>
    </row>
    <row r="142" spans="1:72" x14ac:dyDescent="0.15">
      <c r="A142" t="s">
        <v>552</v>
      </c>
      <c r="B142" t="s">
        <v>1849</v>
      </c>
      <c r="C142" t="s">
        <v>74</v>
      </c>
      <c r="D142" t="s">
        <v>74</v>
      </c>
      <c r="E142" t="s">
        <v>74</v>
      </c>
      <c r="F142" t="s">
        <v>1849</v>
      </c>
      <c r="G142" t="s">
        <v>74</v>
      </c>
      <c r="H142" t="s">
        <v>74</v>
      </c>
      <c r="I142" t="s">
        <v>1850</v>
      </c>
      <c r="J142" t="s">
        <v>1851</v>
      </c>
      <c r="K142" t="s">
        <v>74</v>
      </c>
      <c r="L142" t="s">
        <v>74</v>
      </c>
      <c r="M142" t="s">
        <v>78</v>
      </c>
      <c r="N142" t="s">
        <v>775</v>
      </c>
      <c r="O142" t="s">
        <v>74</v>
      </c>
      <c r="P142" t="s">
        <v>74</v>
      </c>
      <c r="Q142" t="s">
        <v>74</v>
      </c>
      <c r="R142" t="s">
        <v>74</v>
      </c>
      <c r="S142" t="s">
        <v>74</v>
      </c>
      <c r="T142" t="s">
        <v>1852</v>
      </c>
      <c r="U142" t="s">
        <v>1853</v>
      </c>
      <c r="V142" t="s">
        <v>1854</v>
      </c>
      <c r="W142" t="s">
        <v>1855</v>
      </c>
      <c r="X142" t="s">
        <v>1856</v>
      </c>
      <c r="Y142" t="s">
        <v>1857</v>
      </c>
      <c r="Z142" t="s">
        <v>74</v>
      </c>
      <c r="AA142" t="s">
        <v>1858</v>
      </c>
      <c r="AB142" t="s">
        <v>1859</v>
      </c>
      <c r="AC142" t="s">
        <v>74</v>
      </c>
      <c r="AD142" t="s">
        <v>74</v>
      </c>
      <c r="AE142" t="s">
        <v>74</v>
      </c>
      <c r="AF142" t="s">
        <v>74</v>
      </c>
      <c r="AG142">
        <v>28</v>
      </c>
      <c r="AH142">
        <v>20</v>
      </c>
      <c r="AI142">
        <v>25</v>
      </c>
      <c r="AJ142">
        <v>1</v>
      </c>
      <c r="AK142">
        <v>26</v>
      </c>
      <c r="AL142" t="s">
        <v>1860</v>
      </c>
      <c r="AM142" t="s">
        <v>1861</v>
      </c>
      <c r="AN142" t="s">
        <v>1862</v>
      </c>
      <c r="AO142" t="s">
        <v>1863</v>
      </c>
      <c r="AP142" t="s">
        <v>74</v>
      </c>
      <c r="AQ142" t="s">
        <v>74</v>
      </c>
      <c r="AR142" t="s">
        <v>1864</v>
      </c>
      <c r="AS142" t="s">
        <v>1865</v>
      </c>
      <c r="AT142" t="s">
        <v>566</v>
      </c>
      <c r="AU142">
        <v>2003</v>
      </c>
      <c r="AV142">
        <v>60</v>
      </c>
      <c r="AW142" t="s">
        <v>1866</v>
      </c>
      <c r="AX142" t="s">
        <v>74</v>
      </c>
      <c r="AY142" t="s">
        <v>74</v>
      </c>
      <c r="AZ142" t="s">
        <v>74</v>
      </c>
      <c r="BA142" t="s">
        <v>74</v>
      </c>
      <c r="BB142">
        <v>131</v>
      </c>
      <c r="BC142">
        <v>146</v>
      </c>
      <c r="BD142" t="s">
        <v>1867</v>
      </c>
      <c r="BE142" t="s">
        <v>1868</v>
      </c>
      <c r="BF142" t="str">
        <f>HYPERLINK("http://dx.doi.org/10.1016/S0012-8252(02)00090-9","http://dx.doi.org/10.1016/S0012-8252(02)00090-9")</f>
        <v>http://dx.doi.org/10.1016/S0012-8252(02)00090-9</v>
      </c>
      <c r="BG142" t="s">
        <v>74</v>
      </c>
      <c r="BH142" t="s">
        <v>74</v>
      </c>
      <c r="BI142">
        <v>16</v>
      </c>
      <c r="BJ142" t="s">
        <v>1813</v>
      </c>
      <c r="BK142" t="s">
        <v>569</v>
      </c>
      <c r="BL142" t="s">
        <v>1814</v>
      </c>
      <c r="BM142" t="s">
        <v>1869</v>
      </c>
      <c r="BN142" t="s">
        <v>74</v>
      </c>
      <c r="BO142" t="s">
        <v>74</v>
      </c>
      <c r="BP142" t="s">
        <v>74</v>
      </c>
      <c r="BQ142" t="s">
        <v>74</v>
      </c>
      <c r="BR142" t="s">
        <v>98</v>
      </c>
      <c r="BS142" t="s">
        <v>1870</v>
      </c>
      <c r="BT142" t="str">
        <f>HYPERLINK("https%3A%2F%2Fwww.webofscience.com%2Fwos%2Fwoscc%2Ffull-record%2FWOS:000180246300003","View Full Record in Web of Science")</f>
        <v>View Full Record in Web of Science</v>
      </c>
    </row>
    <row r="143" spans="1:72" x14ac:dyDescent="0.15">
      <c r="A143" t="s">
        <v>552</v>
      </c>
      <c r="B143" t="s">
        <v>1871</v>
      </c>
      <c r="C143" t="s">
        <v>74</v>
      </c>
      <c r="D143" t="s">
        <v>74</v>
      </c>
      <c r="E143" t="s">
        <v>74</v>
      </c>
      <c r="F143" t="s">
        <v>1871</v>
      </c>
      <c r="G143" t="s">
        <v>74</v>
      </c>
      <c r="H143" t="s">
        <v>74</v>
      </c>
      <c r="I143" t="s">
        <v>1872</v>
      </c>
      <c r="J143" t="s">
        <v>1873</v>
      </c>
      <c r="K143" t="s">
        <v>74</v>
      </c>
      <c r="L143" t="s">
        <v>74</v>
      </c>
      <c r="M143" t="s">
        <v>78</v>
      </c>
      <c r="N143" t="s">
        <v>775</v>
      </c>
      <c r="O143" t="s">
        <v>74</v>
      </c>
      <c r="P143" t="s">
        <v>74</v>
      </c>
      <c r="Q143" t="s">
        <v>74</v>
      </c>
      <c r="R143" t="s">
        <v>74</v>
      </c>
      <c r="S143" t="s">
        <v>74</v>
      </c>
      <c r="T143" t="s">
        <v>1874</v>
      </c>
      <c r="U143" t="s">
        <v>1875</v>
      </c>
      <c r="V143" t="s">
        <v>1876</v>
      </c>
      <c r="W143" t="s">
        <v>1877</v>
      </c>
      <c r="X143" t="s">
        <v>1878</v>
      </c>
      <c r="Y143" t="s">
        <v>1879</v>
      </c>
      <c r="Z143" t="s">
        <v>74</v>
      </c>
      <c r="AA143" t="s">
        <v>74</v>
      </c>
      <c r="AB143" t="s">
        <v>74</v>
      </c>
      <c r="AC143" t="s">
        <v>74</v>
      </c>
      <c r="AD143" t="s">
        <v>74</v>
      </c>
      <c r="AE143" t="s">
        <v>74</v>
      </c>
      <c r="AF143" t="s">
        <v>74</v>
      </c>
      <c r="AG143">
        <v>28</v>
      </c>
      <c r="AH143">
        <v>5</v>
      </c>
      <c r="AI143">
        <v>7</v>
      </c>
      <c r="AJ143">
        <v>0</v>
      </c>
      <c r="AK143">
        <v>13</v>
      </c>
      <c r="AL143" t="s">
        <v>1880</v>
      </c>
      <c r="AM143" t="s">
        <v>1881</v>
      </c>
      <c r="AN143" t="s">
        <v>1882</v>
      </c>
      <c r="AO143" t="s">
        <v>1883</v>
      </c>
      <c r="AP143" t="s">
        <v>74</v>
      </c>
      <c r="AQ143" t="s">
        <v>74</v>
      </c>
      <c r="AR143" t="s">
        <v>1884</v>
      </c>
      <c r="AS143" t="s">
        <v>1885</v>
      </c>
      <c r="AT143" t="s">
        <v>74</v>
      </c>
      <c r="AU143">
        <v>2003</v>
      </c>
      <c r="AV143">
        <v>96</v>
      </c>
      <c r="AW143">
        <v>1</v>
      </c>
      <c r="AX143" t="s">
        <v>74</v>
      </c>
      <c r="AY143" t="s">
        <v>74</v>
      </c>
      <c r="AZ143" t="s">
        <v>74</v>
      </c>
      <c r="BA143" t="s">
        <v>74</v>
      </c>
      <c r="BB143">
        <v>109</v>
      </c>
      <c r="BC143">
        <v>114</v>
      </c>
      <c r="BD143" t="s">
        <v>74</v>
      </c>
      <c r="BE143" t="s">
        <v>1886</v>
      </c>
      <c r="BF143" t="str">
        <f>HYPERLINK("http://dx.doi.org/10.1007/s00015-003-1075-4","http://dx.doi.org/10.1007/s00015-003-1075-4")</f>
        <v>http://dx.doi.org/10.1007/s00015-003-1075-4</v>
      </c>
      <c r="BG143" t="s">
        <v>74</v>
      </c>
      <c r="BH143" t="s">
        <v>74</v>
      </c>
      <c r="BI143">
        <v>6</v>
      </c>
      <c r="BJ143" t="s">
        <v>1814</v>
      </c>
      <c r="BK143" t="s">
        <v>569</v>
      </c>
      <c r="BL143" t="s">
        <v>1814</v>
      </c>
      <c r="BM143" t="s">
        <v>1887</v>
      </c>
      <c r="BN143" t="s">
        <v>74</v>
      </c>
      <c r="BO143" t="s">
        <v>74</v>
      </c>
      <c r="BP143" t="s">
        <v>74</v>
      </c>
      <c r="BQ143" t="s">
        <v>74</v>
      </c>
      <c r="BR143" t="s">
        <v>98</v>
      </c>
      <c r="BS143" t="s">
        <v>1888</v>
      </c>
      <c r="BT143" t="str">
        <f>HYPERLINK("https%3A%2F%2Fwww.webofscience.com%2Fwos%2Fwoscc%2Ffull-record%2FWOS:000183530400009","View Full Record in Web of Science")</f>
        <v>View Full Record in Web of Science</v>
      </c>
    </row>
    <row r="144" spans="1:72" x14ac:dyDescent="0.15">
      <c r="A144" t="s">
        <v>72</v>
      </c>
      <c r="B144" t="s">
        <v>1889</v>
      </c>
      <c r="C144" t="s">
        <v>74</v>
      </c>
      <c r="D144" t="s">
        <v>74</v>
      </c>
      <c r="E144" t="s">
        <v>1890</v>
      </c>
      <c r="F144" t="s">
        <v>1889</v>
      </c>
      <c r="G144" t="s">
        <v>74</v>
      </c>
      <c r="H144" t="s">
        <v>74</v>
      </c>
      <c r="I144" t="s">
        <v>1891</v>
      </c>
      <c r="J144" t="s">
        <v>1892</v>
      </c>
      <c r="K144" t="s">
        <v>74</v>
      </c>
      <c r="L144" t="s">
        <v>74</v>
      </c>
      <c r="M144" t="s">
        <v>78</v>
      </c>
      <c r="N144" t="s">
        <v>79</v>
      </c>
      <c r="O144" t="s">
        <v>1893</v>
      </c>
      <c r="P144" t="s">
        <v>1894</v>
      </c>
      <c r="Q144" t="s">
        <v>1895</v>
      </c>
      <c r="R144" t="s">
        <v>74</v>
      </c>
      <c r="S144" t="s">
        <v>74</v>
      </c>
      <c r="T144" t="s">
        <v>1896</v>
      </c>
      <c r="U144" t="s">
        <v>1897</v>
      </c>
      <c r="V144" t="s">
        <v>1898</v>
      </c>
      <c r="W144" t="s">
        <v>1899</v>
      </c>
      <c r="X144" t="s">
        <v>1900</v>
      </c>
      <c r="Y144" t="s">
        <v>1901</v>
      </c>
      <c r="Z144" t="s">
        <v>74</v>
      </c>
      <c r="AA144" t="s">
        <v>1902</v>
      </c>
      <c r="AB144" t="s">
        <v>1903</v>
      </c>
      <c r="AC144" t="s">
        <v>74</v>
      </c>
      <c r="AD144" t="s">
        <v>74</v>
      </c>
      <c r="AE144" t="s">
        <v>74</v>
      </c>
      <c r="AF144" t="s">
        <v>74</v>
      </c>
      <c r="AG144">
        <v>69</v>
      </c>
      <c r="AH144">
        <v>0</v>
      </c>
      <c r="AI144">
        <v>0</v>
      </c>
      <c r="AJ144">
        <v>0</v>
      </c>
      <c r="AK144">
        <v>9</v>
      </c>
      <c r="AL144" t="s">
        <v>1904</v>
      </c>
      <c r="AM144" t="s">
        <v>1905</v>
      </c>
      <c r="AN144" t="s">
        <v>1906</v>
      </c>
      <c r="AO144" t="s">
        <v>74</v>
      </c>
      <c r="AP144" t="s">
        <v>74</v>
      </c>
      <c r="AQ144" t="s">
        <v>74</v>
      </c>
      <c r="AR144" t="s">
        <v>74</v>
      </c>
      <c r="AS144" t="s">
        <v>74</v>
      </c>
      <c r="AT144" t="s">
        <v>74</v>
      </c>
      <c r="AU144">
        <v>2003</v>
      </c>
      <c r="AV144" t="s">
        <v>74</v>
      </c>
      <c r="AW144" t="s">
        <v>74</v>
      </c>
      <c r="AX144" t="s">
        <v>74</v>
      </c>
      <c r="AY144" t="s">
        <v>74</v>
      </c>
      <c r="AZ144" t="s">
        <v>74</v>
      </c>
      <c r="BA144" t="s">
        <v>74</v>
      </c>
      <c r="BB144">
        <v>57</v>
      </c>
      <c r="BC144">
        <v>82</v>
      </c>
      <c r="BD144" t="s">
        <v>74</v>
      </c>
      <c r="BE144" t="s">
        <v>74</v>
      </c>
      <c r="BF144" t="s">
        <v>74</v>
      </c>
      <c r="BG144" t="s">
        <v>74</v>
      </c>
      <c r="BH144" t="s">
        <v>74</v>
      </c>
      <c r="BI144">
        <v>26</v>
      </c>
      <c r="BJ144" t="s">
        <v>989</v>
      </c>
      <c r="BK144" t="s">
        <v>95</v>
      </c>
      <c r="BL144" t="s">
        <v>989</v>
      </c>
      <c r="BM144" t="s">
        <v>1907</v>
      </c>
      <c r="BN144" t="s">
        <v>74</v>
      </c>
      <c r="BO144" t="s">
        <v>74</v>
      </c>
      <c r="BP144" t="s">
        <v>74</v>
      </c>
      <c r="BQ144" t="s">
        <v>74</v>
      </c>
      <c r="BR144" t="s">
        <v>98</v>
      </c>
      <c r="BS144" t="s">
        <v>1908</v>
      </c>
      <c r="BT144" t="str">
        <f>HYPERLINK("https%3A%2F%2Fwww.webofscience.com%2Fwos%2Fwoscc%2Ffull-record%2FWOS:000186633500004","View Full Record in Web of Science")</f>
        <v>View Full Record in Web of Science</v>
      </c>
    </row>
    <row r="145" spans="1:72" x14ac:dyDescent="0.15">
      <c r="A145" t="s">
        <v>552</v>
      </c>
      <c r="B145" t="s">
        <v>1909</v>
      </c>
      <c r="C145" t="s">
        <v>74</v>
      </c>
      <c r="D145" t="s">
        <v>74</v>
      </c>
      <c r="E145" t="s">
        <v>74</v>
      </c>
      <c r="F145" t="s">
        <v>1909</v>
      </c>
      <c r="G145" t="s">
        <v>74</v>
      </c>
      <c r="H145" t="s">
        <v>74</v>
      </c>
      <c r="I145" t="s">
        <v>1910</v>
      </c>
      <c r="J145" t="s">
        <v>1911</v>
      </c>
      <c r="K145" t="s">
        <v>74</v>
      </c>
      <c r="L145" t="s">
        <v>74</v>
      </c>
      <c r="M145" t="s">
        <v>78</v>
      </c>
      <c r="N145" t="s">
        <v>775</v>
      </c>
      <c r="O145" t="s">
        <v>74</v>
      </c>
      <c r="P145" t="s">
        <v>74</v>
      </c>
      <c r="Q145" t="s">
        <v>74</v>
      </c>
      <c r="R145" t="s">
        <v>74</v>
      </c>
      <c r="S145" t="s">
        <v>74</v>
      </c>
      <c r="T145" t="s">
        <v>74</v>
      </c>
      <c r="U145" t="s">
        <v>1912</v>
      </c>
      <c r="V145" t="s">
        <v>1913</v>
      </c>
      <c r="W145" t="s">
        <v>1914</v>
      </c>
      <c r="X145" t="s">
        <v>1915</v>
      </c>
      <c r="Y145" t="s">
        <v>1916</v>
      </c>
      <c r="Z145" t="s">
        <v>74</v>
      </c>
      <c r="AA145" t="s">
        <v>1917</v>
      </c>
      <c r="AB145" t="s">
        <v>1918</v>
      </c>
      <c r="AC145" t="s">
        <v>74</v>
      </c>
      <c r="AD145" t="s">
        <v>74</v>
      </c>
      <c r="AE145" t="s">
        <v>74</v>
      </c>
      <c r="AF145" t="s">
        <v>74</v>
      </c>
      <c r="AG145">
        <v>24</v>
      </c>
      <c r="AH145">
        <v>43</v>
      </c>
      <c r="AI145">
        <v>48</v>
      </c>
      <c r="AJ145">
        <v>0</v>
      </c>
      <c r="AK145">
        <v>25</v>
      </c>
      <c r="AL145" t="s">
        <v>854</v>
      </c>
      <c r="AM145" t="s">
        <v>855</v>
      </c>
      <c r="AN145" t="s">
        <v>856</v>
      </c>
      <c r="AO145" t="s">
        <v>1919</v>
      </c>
      <c r="AP145" t="s">
        <v>74</v>
      </c>
      <c r="AQ145" t="s">
        <v>74</v>
      </c>
      <c r="AR145" t="s">
        <v>1911</v>
      </c>
      <c r="AS145" t="s">
        <v>1920</v>
      </c>
      <c r="AT145" t="s">
        <v>74</v>
      </c>
      <c r="AU145">
        <v>2003</v>
      </c>
      <c r="AV145">
        <v>103</v>
      </c>
      <c r="AW145">
        <v>1</v>
      </c>
      <c r="AX145" t="s">
        <v>74</v>
      </c>
      <c r="AY145" t="s">
        <v>74</v>
      </c>
      <c r="AZ145" t="s">
        <v>74</v>
      </c>
      <c r="BA145" t="s">
        <v>74</v>
      </c>
      <c r="BB145">
        <v>43</v>
      </c>
      <c r="BC145">
        <v>48</v>
      </c>
      <c r="BD145" t="s">
        <v>74</v>
      </c>
      <c r="BE145" t="s">
        <v>1921</v>
      </c>
      <c r="BF145" t="str">
        <f>HYPERLINK("http://dx.doi.org/10.1071/MU02020","http://dx.doi.org/10.1071/MU02020")</f>
        <v>http://dx.doi.org/10.1071/MU02020</v>
      </c>
      <c r="BG145" t="s">
        <v>74</v>
      </c>
      <c r="BH145" t="s">
        <v>74</v>
      </c>
      <c r="BI145">
        <v>6</v>
      </c>
      <c r="BJ145" t="s">
        <v>926</v>
      </c>
      <c r="BK145" t="s">
        <v>569</v>
      </c>
      <c r="BL145" t="s">
        <v>927</v>
      </c>
      <c r="BM145" t="s">
        <v>1922</v>
      </c>
      <c r="BN145" t="s">
        <v>74</v>
      </c>
      <c r="BO145" t="s">
        <v>74</v>
      </c>
      <c r="BP145" t="s">
        <v>74</v>
      </c>
      <c r="BQ145" t="s">
        <v>74</v>
      </c>
      <c r="BR145" t="s">
        <v>98</v>
      </c>
      <c r="BS145" t="s">
        <v>1923</v>
      </c>
      <c r="BT145" t="str">
        <f>HYPERLINK("https%3A%2F%2Fwww.webofscience.com%2Fwos%2Fwoscc%2Ffull-record%2FWOS:000182064500006","View Full Record in Web of Science")</f>
        <v>View Full Record in Web of Science</v>
      </c>
    </row>
    <row r="146" spans="1:72" x14ac:dyDescent="0.15">
      <c r="A146" t="s">
        <v>552</v>
      </c>
      <c r="B146" t="s">
        <v>1924</v>
      </c>
      <c r="C146" t="s">
        <v>74</v>
      </c>
      <c r="D146" t="s">
        <v>74</v>
      </c>
      <c r="E146" t="s">
        <v>74</v>
      </c>
      <c r="F146" t="s">
        <v>1924</v>
      </c>
      <c r="G146" t="s">
        <v>74</v>
      </c>
      <c r="H146" t="s">
        <v>74</v>
      </c>
      <c r="I146" t="s">
        <v>1925</v>
      </c>
      <c r="J146" t="s">
        <v>1911</v>
      </c>
      <c r="K146" t="s">
        <v>74</v>
      </c>
      <c r="L146" t="s">
        <v>74</v>
      </c>
      <c r="M146" t="s">
        <v>78</v>
      </c>
      <c r="N146" t="s">
        <v>775</v>
      </c>
      <c r="O146" t="s">
        <v>74</v>
      </c>
      <c r="P146" t="s">
        <v>74</v>
      </c>
      <c r="Q146" t="s">
        <v>74</v>
      </c>
      <c r="R146" t="s">
        <v>74</v>
      </c>
      <c r="S146" t="s">
        <v>74</v>
      </c>
      <c r="T146" t="s">
        <v>74</v>
      </c>
      <c r="U146" t="s">
        <v>1926</v>
      </c>
      <c r="V146" t="s">
        <v>1927</v>
      </c>
      <c r="W146" t="s">
        <v>1928</v>
      </c>
      <c r="X146" t="s">
        <v>1929</v>
      </c>
      <c r="Y146" t="s">
        <v>1930</v>
      </c>
      <c r="Z146" t="s">
        <v>74</v>
      </c>
      <c r="AA146" t="s">
        <v>74</v>
      </c>
      <c r="AB146" t="s">
        <v>74</v>
      </c>
      <c r="AC146" t="s">
        <v>74</v>
      </c>
      <c r="AD146" t="s">
        <v>74</v>
      </c>
      <c r="AE146" t="s">
        <v>74</v>
      </c>
      <c r="AF146" t="s">
        <v>74</v>
      </c>
      <c r="AG146">
        <v>7</v>
      </c>
      <c r="AH146">
        <v>13</v>
      </c>
      <c r="AI146">
        <v>13</v>
      </c>
      <c r="AJ146">
        <v>0</v>
      </c>
      <c r="AK146">
        <v>7</v>
      </c>
      <c r="AL146" t="s">
        <v>854</v>
      </c>
      <c r="AM146" t="s">
        <v>855</v>
      </c>
      <c r="AN146" t="s">
        <v>856</v>
      </c>
      <c r="AO146" t="s">
        <v>1919</v>
      </c>
      <c r="AP146" t="s">
        <v>74</v>
      </c>
      <c r="AQ146" t="s">
        <v>74</v>
      </c>
      <c r="AR146" t="s">
        <v>1911</v>
      </c>
      <c r="AS146" t="s">
        <v>1920</v>
      </c>
      <c r="AT146" t="s">
        <v>74</v>
      </c>
      <c r="AU146">
        <v>2003</v>
      </c>
      <c r="AV146">
        <v>103</v>
      </c>
      <c r="AW146">
        <v>1</v>
      </c>
      <c r="AX146" t="s">
        <v>74</v>
      </c>
      <c r="AY146" t="s">
        <v>74</v>
      </c>
      <c r="AZ146" t="s">
        <v>74</v>
      </c>
      <c r="BA146" t="s">
        <v>74</v>
      </c>
      <c r="BB146">
        <v>59</v>
      </c>
      <c r="BC146">
        <v>65</v>
      </c>
      <c r="BD146" t="s">
        <v>74</v>
      </c>
      <c r="BE146" t="s">
        <v>1931</v>
      </c>
      <c r="BF146" t="str">
        <f>HYPERLINK("http://dx.doi.org/10.1071/MU01011","http://dx.doi.org/10.1071/MU01011")</f>
        <v>http://dx.doi.org/10.1071/MU01011</v>
      </c>
      <c r="BG146" t="s">
        <v>74</v>
      </c>
      <c r="BH146" t="s">
        <v>74</v>
      </c>
      <c r="BI146">
        <v>7</v>
      </c>
      <c r="BJ146" t="s">
        <v>926</v>
      </c>
      <c r="BK146" t="s">
        <v>569</v>
      </c>
      <c r="BL146" t="s">
        <v>927</v>
      </c>
      <c r="BM146" t="s">
        <v>1922</v>
      </c>
      <c r="BN146" t="s">
        <v>74</v>
      </c>
      <c r="BO146" t="s">
        <v>74</v>
      </c>
      <c r="BP146" t="s">
        <v>74</v>
      </c>
      <c r="BQ146" t="s">
        <v>74</v>
      </c>
      <c r="BR146" t="s">
        <v>98</v>
      </c>
      <c r="BS146" t="s">
        <v>1932</v>
      </c>
      <c r="BT146" t="str">
        <f>HYPERLINK("https%3A%2F%2Fwww.webofscience.com%2Fwos%2Fwoscc%2Ffull-record%2FWOS:000182064500008","View Full Record in Web of Science")</f>
        <v>View Full Record in Web of Science</v>
      </c>
    </row>
    <row r="147" spans="1:72" x14ac:dyDescent="0.15">
      <c r="A147" t="s">
        <v>552</v>
      </c>
      <c r="B147" t="s">
        <v>1933</v>
      </c>
      <c r="C147" t="s">
        <v>74</v>
      </c>
      <c r="D147" t="s">
        <v>74</v>
      </c>
      <c r="E147" t="s">
        <v>74</v>
      </c>
      <c r="F147" t="s">
        <v>1933</v>
      </c>
      <c r="G147" t="s">
        <v>74</v>
      </c>
      <c r="H147" t="s">
        <v>74</v>
      </c>
      <c r="I147" t="s">
        <v>1934</v>
      </c>
      <c r="J147" t="s">
        <v>1911</v>
      </c>
      <c r="K147" t="s">
        <v>74</v>
      </c>
      <c r="L147" t="s">
        <v>74</v>
      </c>
      <c r="M147" t="s">
        <v>78</v>
      </c>
      <c r="N147" t="s">
        <v>775</v>
      </c>
      <c r="O147" t="s">
        <v>74</v>
      </c>
      <c r="P147" t="s">
        <v>74</v>
      </c>
      <c r="Q147" t="s">
        <v>74</v>
      </c>
      <c r="R147" t="s">
        <v>74</v>
      </c>
      <c r="S147" t="s">
        <v>74</v>
      </c>
      <c r="T147" t="s">
        <v>74</v>
      </c>
      <c r="U147" t="s">
        <v>1935</v>
      </c>
      <c r="V147" t="s">
        <v>1936</v>
      </c>
      <c r="W147" t="s">
        <v>1928</v>
      </c>
      <c r="X147" t="s">
        <v>1929</v>
      </c>
      <c r="Y147" t="s">
        <v>1930</v>
      </c>
      <c r="Z147" t="s">
        <v>74</v>
      </c>
      <c r="AA147" t="s">
        <v>74</v>
      </c>
      <c r="AB147" t="s">
        <v>74</v>
      </c>
      <c r="AC147" t="s">
        <v>74</v>
      </c>
      <c r="AD147" t="s">
        <v>74</v>
      </c>
      <c r="AE147" t="s">
        <v>74</v>
      </c>
      <c r="AF147" t="s">
        <v>74</v>
      </c>
      <c r="AG147">
        <v>9</v>
      </c>
      <c r="AH147">
        <v>9</v>
      </c>
      <c r="AI147">
        <v>9</v>
      </c>
      <c r="AJ147">
        <v>0</v>
      </c>
      <c r="AK147">
        <v>6</v>
      </c>
      <c r="AL147" t="s">
        <v>854</v>
      </c>
      <c r="AM147" t="s">
        <v>855</v>
      </c>
      <c r="AN147" t="s">
        <v>856</v>
      </c>
      <c r="AO147" t="s">
        <v>1919</v>
      </c>
      <c r="AP147" t="s">
        <v>74</v>
      </c>
      <c r="AQ147" t="s">
        <v>74</v>
      </c>
      <c r="AR147" t="s">
        <v>1911</v>
      </c>
      <c r="AS147" t="s">
        <v>1920</v>
      </c>
      <c r="AT147" t="s">
        <v>74</v>
      </c>
      <c r="AU147">
        <v>2003</v>
      </c>
      <c r="AV147">
        <v>103</v>
      </c>
      <c r="AW147">
        <v>2</v>
      </c>
      <c r="AX147" t="s">
        <v>74</v>
      </c>
      <c r="AY147" t="s">
        <v>74</v>
      </c>
      <c r="AZ147" t="s">
        <v>74</v>
      </c>
      <c r="BA147" t="s">
        <v>74</v>
      </c>
      <c r="BB147">
        <v>111</v>
      </c>
      <c r="BC147">
        <v>120</v>
      </c>
      <c r="BD147" t="s">
        <v>74</v>
      </c>
      <c r="BE147" t="s">
        <v>1937</v>
      </c>
      <c r="BF147" t="str">
        <f>HYPERLINK("http://dx.doi.org/10.1071/MU01068","http://dx.doi.org/10.1071/MU01068")</f>
        <v>http://dx.doi.org/10.1071/MU01068</v>
      </c>
      <c r="BG147" t="s">
        <v>74</v>
      </c>
      <c r="BH147" t="s">
        <v>74</v>
      </c>
      <c r="BI147">
        <v>10</v>
      </c>
      <c r="BJ147" t="s">
        <v>926</v>
      </c>
      <c r="BK147" t="s">
        <v>569</v>
      </c>
      <c r="BL147" t="s">
        <v>927</v>
      </c>
      <c r="BM147" t="s">
        <v>1938</v>
      </c>
      <c r="BN147" t="s">
        <v>74</v>
      </c>
      <c r="BO147" t="s">
        <v>74</v>
      </c>
      <c r="BP147" t="s">
        <v>74</v>
      </c>
      <c r="BQ147" t="s">
        <v>74</v>
      </c>
      <c r="BR147" t="s">
        <v>98</v>
      </c>
      <c r="BS147" t="s">
        <v>1939</v>
      </c>
      <c r="BT147" t="str">
        <f>HYPERLINK("https%3A%2F%2Fwww.webofscience.com%2Fwos%2Fwoscc%2Ffull-record%2FWOS:000183803100003","View Full Record in Web of Science")</f>
        <v>View Full Record in Web of Science</v>
      </c>
    </row>
    <row r="148" spans="1:72" x14ac:dyDescent="0.15">
      <c r="A148" t="s">
        <v>552</v>
      </c>
      <c r="B148" t="s">
        <v>1940</v>
      </c>
      <c r="C148" t="s">
        <v>74</v>
      </c>
      <c r="D148" t="s">
        <v>74</v>
      </c>
      <c r="E148" t="s">
        <v>74</v>
      </c>
      <c r="F148" t="s">
        <v>1940</v>
      </c>
      <c r="G148" t="s">
        <v>74</v>
      </c>
      <c r="H148" t="s">
        <v>74</v>
      </c>
      <c r="I148" t="s">
        <v>1941</v>
      </c>
      <c r="J148" t="s">
        <v>1911</v>
      </c>
      <c r="K148" t="s">
        <v>74</v>
      </c>
      <c r="L148" t="s">
        <v>74</v>
      </c>
      <c r="M148" t="s">
        <v>78</v>
      </c>
      <c r="N148" t="s">
        <v>775</v>
      </c>
      <c r="O148" t="s">
        <v>74</v>
      </c>
      <c r="P148" t="s">
        <v>74</v>
      </c>
      <c r="Q148" t="s">
        <v>74</v>
      </c>
      <c r="R148" t="s">
        <v>74</v>
      </c>
      <c r="S148" t="s">
        <v>74</v>
      </c>
      <c r="T148" t="s">
        <v>74</v>
      </c>
      <c r="U148" t="s">
        <v>1942</v>
      </c>
      <c r="V148" t="s">
        <v>1943</v>
      </c>
      <c r="W148" t="s">
        <v>1944</v>
      </c>
      <c r="X148" t="s">
        <v>1945</v>
      </c>
      <c r="Y148" t="s">
        <v>1946</v>
      </c>
      <c r="Z148" t="s">
        <v>74</v>
      </c>
      <c r="AA148" t="s">
        <v>74</v>
      </c>
      <c r="AB148" t="s">
        <v>74</v>
      </c>
      <c r="AC148" t="s">
        <v>74</v>
      </c>
      <c r="AD148" t="s">
        <v>74</v>
      </c>
      <c r="AE148" t="s">
        <v>74</v>
      </c>
      <c r="AF148" t="s">
        <v>74</v>
      </c>
      <c r="AG148">
        <v>33</v>
      </c>
      <c r="AH148">
        <v>3</v>
      </c>
      <c r="AI148">
        <v>7</v>
      </c>
      <c r="AJ148">
        <v>3</v>
      </c>
      <c r="AK148">
        <v>79</v>
      </c>
      <c r="AL148" t="s">
        <v>854</v>
      </c>
      <c r="AM148" t="s">
        <v>855</v>
      </c>
      <c r="AN148" t="s">
        <v>856</v>
      </c>
      <c r="AO148" t="s">
        <v>1919</v>
      </c>
      <c r="AP148" t="s">
        <v>74</v>
      </c>
      <c r="AQ148" t="s">
        <v>74</v>
      </c>
      <c r="AR148" t="s">
        <v>1911</v>
      </c>
      <c r="AS148" t="s">
        <v>1920</v>
      </c>
      <c r="AT148" t="s">
        <v>74</v>
      </c>
      <c r="AU148">
        <v>2003</v>
      </c>
      <c r="AV148">
        <v>103</v>
      </c>
      <c r="AW148">
        <v>4</v>
      </c>
      <c r="AX148" t="s">
        <v>74</v>
      </c>
      <c r="AY148" t="s">
        <v>74</v>
      </c>
      <c r="AZ148" t="s">
        <v>74</v>
      </c>
      <c r="BA148" t="s">
        <v>74</v>
      </c>
      <c r="BB148">
        <v>307</v>
      </c>
      <c r="BC148">
        <v>313</v>
      </c>
      <c r="BD148" t="s">
        <v>74</v>
      </c>
      <c r="BE148" t="s">
        <v>1947</v>
      </c>
      <c r="BF148" t="str">
        <f>HYPERLINK("http://dx.doi.org/10.1071/MU03017","http://dx.doi.org/10.1071/MU03017")</f>
        <v>http://dx.doi.org/10.1071/MU03017</v>
      </c>
      <c r="BG148" t="s">
        <v>74</v>
      </c>
      <c r="BH148" t="s">
        <v>74</v>
      </c>
      <c r="BI148">
        <v>7</v>
      </c>
      <c r="BJ148" t="s">
        <v>926</v>
      </c>
      <c r="BK148" t="s">
        <v>569</v>
      </c>
      <c r="BL148" t="s">
        <v>927</v>
      </c>
      <c r="BM148" t="s">
        <v>1948</v>
      </c>
      <c r="BN148" t="s">
        <v>74</v>
      </c>
      <c r="BO148" t="s">
        <v>74</v>
      </c>
      <c r="BP148" t="s">
        <v>74</v>
      </c>
      <c r="BQ148" t="s">
        <v>74</v>
      </c>
      <c r="BR148" t="s">
        <v>98</v>
      </c>
      <c r="BS148" t="s">
        <v>1949</v>
      </c>
      <c r="BT148" t="str">
        <f>HYPERLINK("https%3A%2F%2Fwww.webofscience.com%2Fwos%2Fwoscc%2Ffull-record%2FWOS:000187310100003","View Full Record in Web of Science")</f>
        <v>View Full Record in Web of Science</v>
      </c>
    </row>
    <row r="149" spans="1:72" x14ac:dyDescent="0.15">
      <c r="A149" t="s">
        <v>552</v>
      </c>
      <c r="B149" t="s">
        <v>1950</v>
      </c>
      <c r="C149" t="s">
        <v>74</v>
      </c>
      <c r="D149" t="s">
        <v>74</v>
      </c>
      <c r="E149" t="s">
        <v>74</v>
      </c>
      <c r="F149" t="s">
        <v>1950</v>
      </c>
      <c r="G149" t="s">
        <v>74</v>
      </c>
      <c r="H149" t="s">
        <v>74</v>
      </c>
      <c r="I149" t="s">
        <v>1951</v>
      </c>
      <c r="J149" t="s">
        <v>1952</v>
      </c>
      <c r="K149" t="s">
        <v>74</v>
      </c>
      <c r="L149" t="s">
        <v>74</v>
      </c>
      <c r="M149" t="s">
        <v>78</v>
      </c>
      <c r="N149" t="s">
        <v>775</v>
      </c>
      <c r="O149" t="s">
        <v>74</v>
      </c>
      <c r="P149" t="s">
        <v>74</v>
      </c>
      <c r="Q149" t="s">
        <v>74</v>
      </c>
      <c r="R149" t="s">
        <v>74</v>
      </c>
      <c r="S149" t="s">
        <v>74</v>
      </c>
      <c r="T149" t="s">
        <v>74</v>
      </c>
      <c r="U149" t="s">
        <v>1953</v>
      </c>
      <c r="V149" t="s">
        <v>1954</v>
      </c>
      <c r="W149" t="s">
        <v>1955</v>
      </c>
      <c r="X149" t="s">
        <v>74</v>
      </c>
      <c r="Y149" t="s">
        <v>1956</v>
      </c>
      <c r="Z149" t="s">
        <v>74</v>
      </c>
      <c r="AA149" t="s">
        <v>74</v>
      </c>
      <c r="AB149" t="s">
        <v>74</v>
      </c>
      <c r="AC149" t="s">
        <v>74</v>
      </c>
      <c r="AD149" t="s">
        <v>74</v>
      </c>
      <c r="AE149" t="s">
        <v>74</v>
      </c>
      <c r="AF149" t="s">
        <v>74</v>
      </c>
      <c r="AG149">
        <v>31</v>
      </c>
      <c r="AH149">
        <v>5</v>
      </c>
      <c r="AI149">
        <v>5</v>
      </c>
      <c r="AJ149">
        <v>0</v>
      </c>
      <c r="AK149">
        <v>5</v>
      </c>
      <c r="AL149" t="s">
        <v>1957</v>
      </c>
      <c r="AM149" t="s">
        <v>1958</v>
      </c>
      <c r="AN149" t="s">
        <v>1959</v>
      </c>
      <c r="AO149" t="s">
        <v>1919</v>
      </c>
      <c r="AP149" t="s">
        <v>1960</v>
      </c>
      <c r="AQ149" t="s">
        <v>74</v>
      </c>
      <c r="AR149" t="s">
        <v>1911</v>
      </c>
      <c r="AS149" t="s">
        <v>1920</v>
      </c>
      <c r="AT149" t="s">
        <v>74</v>
      </c>
      <c r="AU149">
        <v>2003</v>
      </c>
      <c r="AV149">
        <v>103</v>
      </c>
      <c r="AW149">
        <v>1</v>
      </c>
      <c r="AX149" t="s">
        <v>74</v>
      </c>
      <c r="AY149" t="s">
        <v>74</v>
      </c>
      <c r="AZ149" t="s">
        <v>74</v>
      </c>
      <c r="BA149" t="s">
        <v>74</v>
      </c>
      <c r="BB149">
        <v>37</v>
      </c>
      <c r="BC149">
        <v>41</v>
      </c>
      <c r="BD149" t="s">
        <v>74</v>
      </c>
      <c r="BE149" t="s">
        <v>1961</v>
      </c>
      <c r="BF149" t="str">
        <f>HYPERLINK("http://dx.doi.org/10.1071/MU02012","http://dx.doi.org/10.1071/MU02012")</f>
        <v>http://dx.doi.org/10.1071/MU02012</v>
      </c>
      <c r="BG149" t="s">
        <v>74</v>
      </c>
      <c r="BH149" t="s">
        <v>74</v>
      </c>
      <c r="BI149">
        <v>5</v>
      </c>
      <c r="BJ149" t="s">
        <v>926</v>
      </c>
      <c r="BK149" t="s">
        <v>569</v>
      </c>
      <c r="BL149" t="s">
        <v>927</v>
      </c>
      <c r="BM149" t="s">
        <v>1922</v>
      </c>
      <c r="BN149" t="s">
        <v>74</v>
      </c>
      <c r="BO149" t="s">
        <v>74</v>
      </c>
      <c r="BP149" t="s">
        <v>74</v>
      </c>
      <c r="BQ149" t="s">
        <v>74</v>
      </c>
      <c r="BR149" t="s">
        <v>98</v>
      </c>
      <c r="BS149" t="s">
        <v>1962</v>
      </c>
      <c r="BT149" t="str">
        <f>HYPERLINK("https%3A%2F%2Fwww.webofscience.com%2Fwos%2Fwoscc%2Ffull-record%2FWOS:000182064500005","View Full Record in Web of Science")</f>
        <v>View Full Record in Web of Science</v>
      </c>
    </row>
    <row r="150" spans="1:72" x14ac:dyDescent="0.15">
      <c r="A150" t="s">
        <v>552</v>
      </c>
      <c r="B150" t="s">
        <v>1963</v>
      </c>
      <c r="C150" t="s">
        <v>74</v>
      </c>
      <c r="D150" t="s">
        <v>74</v>
      </c>
      <c r="E150" t="s">
        <v>74</v>
      </c>
      <c r="F150" t="s">
        <v>1963</v>
      </c>
      <c r="G150" t="s">
        <v>74</v>
      </c>
      <c r="H150" t="s">
        <v>74</v>
      </c>
      <c r="I150" t="s">
        <v>1964</v>
      </c>
      <c r="J150" t="s">
        <v>1965</v>
      </c>
      <c r="K150" t="s">
        <v>74</v>
      </c>
      <c r="L150" t="s">
        <v>74</v>
      </c>
      <c r="M150" t="s">
        <v>78</v>
      </c>
      <c r="N150" t="s">
        <v>775</v>
      </c>
      <c r="O150" t="s">
        <v>74</v>
      </c>
      <c r="P150" t="s">
        <v>74</v>
      </c>
      <c r="Q150" t="s">
        <v>74</v>
      </c>
      <c r="R150" t="s">
        <v>74</v>
      </c>
      <c r="S150" t="s">
        <v>74</v>
      </c>
      <c r="T150" t="s">
        <v>1966</v>
      </c>
      <c r="U150" t="s">
        <v>1967</v>
      </c>
      <c r="V150" t="s">
        <v>1968</v>
      </c>
      <c r="W150" t="s">
        <v>1969</v>
      </c>
      <c r="X150" t="s">
        <v>1970</v>
      </c>
      <c r="Y150" t="s">
        <v>1971</v>
      </c>
      <c r="Z150" t="s">
        <v>1972</v>
      </c>
      <c r="AA150" t="s">
        <v>74</v>
      </c>
      <c r="AB150" t="s">
        <v>1973</v>
      </c>
      <c r="AC150" t="s">
        <v>74</v>
      </c>
      <c r="AD150" t="s">
        <v>74</v>
      </c>
      <c r="AE150" t="s">
        <v>74</v>
      </c>
      <c r="AF150" t="s">
        <v>74</v>
      </c>
      <c r="AG150">
        <v>28</v>
      </c>
      <c r="AH150">
        <v>37</v>
      </c>
      <c r="AI150">
        <v>39</v>
      </c>
      <c r="AJ150">
        <v>0</v>
      </c>
      <c r="AK150">
        <v>7</v>
      </c>
      <c r="AL150" t="s">
        <v>1974</v>
      </c>
      <c r="AM150" t="s">
        <v>807</v>
      </c>
      <c r="AN150" t="s">
        <v>1975</v>
      </c>
      <c r="AO150" t="s">
        <v>1976</v>
      </c>
      <c r="AP150" t="s">
        <v>1977</v>
      </c>
      <c r="AQ150" t="s">
        <v>74</v>
      </c>
      <c r="AR150" t="s">
        <v>1978</v>
      </c>
      <c r="AS150" t="s">
        <v>1979</v>
      </c>
      <c r="AT150" t="s">
        <v>74</v>
      </c>
      <c r="AU150">
        <v>2003</v>
      </c>
      <c r="AV150">
        <v>123</v>
      </c>
      <c r="AW150">
        <v>2</v>
      </c>
      <c r="AX150" t="s">
        <v>74</v>
      </c>
      <c r="AY150" t="s">
        <v>74</v>
      </c>
      <c r="AZ150" t="s">
        <v>74</v>
      </c>
      <c r="BA150" t="s">
        <v>74</v>
      </c>
      <c r="BB150">
        <v>163</v>
      </c>
      <c r="BC150">
        <v>179</v>
      </c>
      <c r="BD150" t="s">
        <v>1980</v>
      </c>
      <c r="BE150" t="s">
        <v>1981</v>
      </c>
      <c r="BF150" t="str">
        <f>HYPERLINK("http://dx.doi.org/10.1016/S0269-7491(02)00403-7","http://dx.doi.org/10.1016/S0269-7491(02)00403-7")</f>
        <v>http://dx.doi.org/10.1016/S0269-7491(02)00403-7</v>
      </c>
      <c r="BG150" t="s">
        <v>74</v>
      </c>
      <c r="BH150" t="s">
        <v>74</v>
      </c>
      <c r="BI150">
        <v>17</v>
      </c>
      <c r="BJ150" t="s">
        <v>1194</v>
      </c>
      <c r="BK150" t="s">
        <v>569</v>
      </c>
      <c r="BL150" t="s">
        <v>1195</v>
      </c>
      <c r="BM150" t="s">
        <v>1982</v>
      </c>
      <c r="BN150">
        <v>12628197</v>
      </c>
      <c r="BO150" t="s">
        <v>74</v>
      </c>
      <c r="BP150" t="s">
        <v>74</v>
      </c>
      <c r="BQ150" t="s">
        <v>74</v>
      </c>
      <c r="BR150" t="s">
        <v>98</v>
      </c>
      <c r="BS150" t="s">
        <v>1983</v>
      </c>
      <c r="BT150" t="str">
        <f>HYPERLINK("https%3A%2F%2Fwww.webofscience.com%2Fwos%2Fwoscc%2Ffull-record%2FWOS:000182287000001","View Full Record in Web of Science")</f>
        <v>View Full Record in Web of Science</v>
      </c>
    </row>
    <row r="151" spans="1:72" x14ac:dyDescent="0.15">
      <c r="A151" t="s">
        <v>552</v>
      </c>
      <c r="B151" t="s">
        <v>1984</v>
      </c>
      <c r="C151" t="s">
        <v>74</v>
      </c>
      <c r="D151" t="s">
        <v>74</v>
      </c>
      <c r="E151" t="s">
        <v>74</v>
      </c>
      <c r="F151" t="s">
        <v>1984</v>
      </c>
      <c r="G151" t="s">
        <v>74</v>
      </c>
      <c r="H151" t="s">
        <v>74</v>
      </c>
      <c r="I151" t="s">
        <v>1985</v>
      </c>
      <c r="J151" t="s">
        <v>1986</v>
      </c>
      <c r="K151" t="s">
        <v>74</v>
      </c>
      <c r="L151" t="s">
        <v>74</v>
      </c>
      <c r="M151" t="s">
        <v>78</v>
      </c>
      <c r="N151" t="s">
        <v>1987</v>
      </c>
      <c r="O151" t="s">
        <v>74</v>
      </c>
      <c r="P151" t="s">
        <v>74</v>
      </c>
      <c r="Q151" t="s">
        <v>74</v>
      </c>
      <c r="R151" t="s">
        <v>74</v>
      </c>
      <c r="S151" t="s">
        <v>74</v>
      </c>
      <c r="T151" t="s">
        <v>1988</v>
      </c>
      <c r="U151" t="s">
        <v>1989</v>
      </c>
      <c r="V151" t="s">
        <v>1990</v>
      </c>
      <c r="W151" t="s">
        <v>1991</v>
      </c>
      <c r="X151" t="s">
        <v>1992</v>
      </c>
      <c r="Y151" t="s">
        <v>1993</v>
      </c>
      <c r="Z151" t="s">
        <v>74</v>
      </c>
      <c r="AA151" t="s">
        <v>1994</v>
      </c>
      <c r="AB151" t="s">
        <v>1995</v>
      </c>
      <c r="AC151" t="s">
        <v>74</v>
      </c>
      <c r="AD151" t="s">
        <v>74</v>
      </c>
      <c r="AE151" t="s">
        <v>74</v>
      </c>
      <c r="AF151" t="s">
        <v>74</v>
      </c>
      <c r="AG151">
        <v>11</v>
      </c>
      <c r="AH151">
        <v>77</v>
      </c>
      <c r="AI151">
        <v>78</v>
      </c>
      <c r="AJ151">
        <v>0</v>
      </c>
      <c r="AK151">
        <v>12</v>
      </c>
      <c r="AL151" t="s">
        <v>1996</v>
      </c>
      <c r="AM151" t="s">
        <v>1997</v>
      </c>
      <c r="AN151" t="s">
        <v>1998</v>
      </c>
      <c r="AO151" t="s">
        <v>1999</v>
      </c>
      <c r="AP151" t="s">
        <v>74</v>
      </c>
      <c r="AQ151" t="s">
        <v>74</v>
      </c>
      <c r="AR151" t="s">
        <v>2000</v>
      </c>
      <c r="AS151" t="s">
        <v>2001</v>
      </c>
      <c r="AT151" t="s">
        <v>74</v>
      </c>
      <c r="AU151">
        <v>2003</v>
      </c>
      <c r="AV151">
        <v>10</v>
      </c>
      <c r="AW151">
        <v>2</v>
      </c>
      <c r="AX151" t="s">
        <v>74</v>
      </c>
      <c r="AY151" t="s">
        <v>74</v>
      </c>
      <c r="AZ151" t="s">
        <v>74</v>
      </c>
      <c r="BA151" t="s">
        <v>74</v>
      </c>
      <c r="BB151">
        <v>80</v>
      </c>
      <c r="BC151">
        <v>81</v>
      </c>
      <c r="BD151" t="s">
        <v>74</v>
      </c>
      <c r="BE151" t="s">
        <v>2002</v>
      </c>
      <c r="BF151" t="str">
        <f>HYPERLINK("http://dx.doi.org/10.1007/BF02980093","http://dx.doi.org/10.1007/BF02980093")</f>
        <v>http://dx.doi.org/10.1007/BF02980093</v>
      </c>
      <c r="BG151" t="s">
        <v>74</v>
      </c>
      <c r="BH151" t="s">
        <v>74</v>
      </c>
      <c r="BI151">
        <v>2</v>
      </c>
      <c r="BJ151" t="s">
        <v>1194</v>
      </c>
      <c r="BK151" t="s">
        <v>569</v>
      </c>
      <c r="BL151" t="s">
        <v>1195</v>
      </c>
      <c r="BM151" t="s">
        <v>2003</v>
      </c>
      <c r="BN151">
        <v>12729038</v>
      </c>
      <c r="BO151" t="s">
        <v>74</v>
      </c>
      <c r="BP151" t="s">
        <v>74</v>
      </c>
      <c r="BQ151" t="s">
        <v>74</v>
      </c>
      <c r="BR151" t="s">
        <v>98</v>
      </c>
      <c r="BS151" t="s">
        <v>2004</v>
      </c>
      <c r="BT151" t="str">
        <f>HYPERLINK("https%3A%2F%2Fwww.webofscience.com%2Fwos%2Fwoscc%2Ffull-record%2FWOS:000181903800002","View Full Record in Web of Science")</f>
        <v>View Full Record in Web of Science</v>
      </c>
    </row>
    <row r="152" spans="1:72" x14ac:dyDescent="0.15">
      <c r="A152" t="s">
        <v>552</v>
      </c>
      <c r="B152" t="s">
        <v>2005</v>
      </c>
      <c r="C152" t="s">
        <v>74</v>
      </c>
      <c r="D152" t="s">
        <v>74</v>
      </c>
      <c r="E152" t="s">
        <v>74</v>
      </c>
      <c r="F152" t="s">
        <v>2005</v>
      </c>
      <c r="G152" t="s">
        <v>74</v>
      </c>
      <c r="H152" t="s">
        <v>74</v>
      </c>
      <c r="I152" t="s">
        <v>2006</v>
      </c>
      <c r="J152" t="s">
        <v>2007</v>
      </c>
      <c r="K152" t="s">
        <v>74</v>
      </c>
      <c r="L152" t="s">
        <v>74</v>
      </c>
      <c r="M152" t="s">
        <v>78</v>
      </c>
      <c r="N152" t="s">
        <v>775</v>
      </c>
      <c r="O152" t="s">
        <v>74</v>
      </c>
      <c r="P152" t="s">
        <v>74</v>
      </c>
      <c r="Q152" t="s">
        <v>74</v>
      </c>
      <c r="R152" t="s">
        <v>74</v>
      </c>
      <c r="S152" t="s">
        <v>74</v>
      </c>
      <c r="T152" t="s">
        <v>74</v>
      </c>
      <c r="U152" t="s">
        <v>2008</v>
      </c>
      <c r="V152" t="s">
        <v>2009</v>
      </c>
      <c r="W152" t="s">
        <v>2010</v>
      </c>
      <c r="X152" t="s">
        <v>2011</v>
      </c>
      <c r="Y152" t="s">
        <v>2012</v>
      </c>
      <c r="Z152" t="s">
        <v>2013</v>
      </c>
      <c r="AA152" t="s">
        <v>74</v>
      </c>
      <c r="AB152" t="s">
        <v>74</v>
      </c>
      <c r="AC152" t="s">
        <v>74</v>
      </c>
      <c r="AD152" t="s">
        <v>74</v>
      </c>
      <c r="AE152" t="s">
        <v>74</v>
      </c>
      <c r="AF152" t="s">
        <v>74</v>
      </c>
      <c r="AG152">
        <v>54</v>
      </c>
      <c r="AH152">
        <v>135</v>
      </c>
      <c r="AI152">
        <v>150</v>
      </c>
      <c r="AJ152">
        <v>3</v>
      </c>
      <c r="AK152">
        <v>62</v>
      </c>
      <c r="AL152" t="s">
        <v>2014</v>
      </c>
      <c r="AM152" t="s">
        <v>388</v>
      </c>
      <c r="AN152" t="s">
        <v>2015</v>
      </c>
      <c r="AO152" t="s">
        <v>2016</v>
      </c>
      <c r="AP152" t="s">
        <v>74</v>
      </c>
      <c r="AQ152" t="s">
        <v>74</v>
      </c>
      <c r="AR152" t="s">
        <v>2017</v>
      </c>
      <c r="AS152" t="s">
        <v>2018</v>
      </c>
      <c r="AT152" t="s">
        <v>2019</v>
      </c>
      <c r="AU152">
        <v>2003</v>
      </c>
      <c r="AV152">
        <v>37</v>
      </c>
      <c r="AW152">
        <v>1</v>
      </c>
      <c r="AX152" t="s">
        <v>74</v>
      </c>
      <c r="AY152" t="s">
        <v>74</v>
      </c>
      <c r="AZ152" t="s">
        <v>74</v>
      </c>
      <c r="BA152" t="s">
        <v>74</v>
      </c>
      <c r="BB152">
        <v>22</v>
      </c>
      <c r="BC152">
        <v>31</v>
      </c>
      <c r="BD152" t="s">
        <v>74</v>
      </c>
      <c r="BE152" t="s">
        <v>2020</v>
      </c>
      <c r="BF152" t="str">
        <f>HYPERLINK("http://dx.doi.org/10.1021/es025884w","http://dx.doi.org/10.1021/es025884w")</f>
        <v>http://dx.doi.org/10.1021/es025884w</v>
      </c>
      <c r="BG152" t="s">
        <v>74</v>
      </c>
      <c r="BH152" t="s">
        <v>74</v>
      </c>
      <c r="BI152">
        <v>10</v>
      </c>
      <c r="BJ152" t="s">
        <v>2021</v>
      </c>
      <c r="BK152" t="s">
        <v>569</v>
      </c>
      <c r="BL152" t="s">
        <v>2022</v>
      </c>
      <c r="BM152" t="s">
        <v>2023</v>
      </c>
      <c r="BN152">
        <v>12542286</v>
      </c>
      <c r="BO152" t="s">
        <v>74</v>
      </c>
      <c r="BP152" t="s">
        <v>74</v>
      </c>
      <c r="BQ152" t="s">
        <v>74</v>
      </c>
      <c r="BR152" t="s">
        <v>98</v>
      </c>
      <c r="BS152" t="s">
        <v>2024</v>
      </c>
      <c r="BT152" t="str">
        <f>HYPERLINK("https%3A%2F%2Fwww.webofscience.com%2Fwos%2Fwoscc%2Ffull-record%2FWOS:000180246200021","View Full Record in Web of Science")</f>
        <v>View Full Record in Web of Science</v>
      </c>
    </row>
    <row r="153" spans="1:72" x14ac:dyDescent="0.15">
      <c r="A153" t="s">
        <v>552</v>
      </c>
      <c r="B153" t="s">
        <v>2025</v>
      </c>
      <c r="C153" t="s">
        <v>74</v>
      </c>
      <c r="D153" t="s">
        <v>74</v>
      </c>
      <c r="E153" t="s">
        <v>74</v>
      </c>
      <c r="F153" t="s">
        <v>2025</v>
      </c>
      <c r="G153" t="s">
        <v>74</v>
      </c>
      <c r="H153" t="s">
        <v>74</v>
      </c>
      <c r="I153" t="s">
        <v>2026</v>
      </c>
      <c r="J153" t="s">
        <v>2027</v>
      </c>
      <c r="K153" t="s">
        <v>74</v>
      </c>
      <c r="L153" t="s">
        <v>74</v>
      </c>
      <c r="M153" t="s">
        <v>78</v>
      </c>
      <c r="N153" t="s">
        <v>775</v>
      </c>
      <c r="O153" t="s">
        <v>74</v>
      </c>
      <c r="P153" t="s">
        <v>74</v>
      </c>
      <c r="Q153" t="s">
        <v>74</v>
      </c>
      <c r="R153" t="s">
        <v>74</v>
      </c>
      <c r="S153" t="s">
        <v>74</v>
      </c>
      <c r="T153" t="s">
        <v>2028</v>
      </c>
      <c r="U153" t="s">
        <v>2029</v>
      </c>
      <c r="V153" t="s">
        <v>2030</v>
      </c>
      <c r="W153" t="s">
        <v>2031</v>
      </c>
      <c r="X153" t="s">
        <v>2032</v>
      </c>
      <c r="Y153" t="s">
        <v>2033</v>
      </c>
      <c r="Z153" t="s">
        <v>74</v>
      </c>
      <c r="AA153" t="s">
        <v>74</v>
      </c>
      <c r="AB153" t="s">
        <v>74</v>
      </c>
      <c r="AC153" t="s">
        <v>74</v>
      </c>
      <c r="AD153" t="s">
        <v>74</v>
      </c>
      <c r="AE153" t="s">
        <v>74</v>
      </c>
      <c r="AF153" t="s">
        <v>74</v>
      </c>
      <c r="AG153">
        <v>43</v>
      </c>
      <c r="AH153">
        <v>18</v>
      </c>
      <c r="AI153">
        <v>32</v>
      </c>
      <c r="AJ153">
        <v>0</v>
      </c>
      <c r="AK153">
        <v>19</v>
      </c>
      <c r="AL153" t="s">
        <v>2034</v>
      </c>
      <c r="AM153" t="s">
        <v>2035</v>
      </c>
      <c r="AN153" t="s">
        <v>2036</v>
      </c>
      <c r="AO153" t="s">
        <v>2037</v>
      </c>
      <c r="AP153" t="s">
        <v>74</v>
      </c>
      <c r="AQ153" t="s">
        <v>74</v>
      </c>
      <c r="AR153" t="s">
        <v>2038</v>
      </c>
      <c r="AS153" t="s">
        <v>2039</v>
      </c>
      <c r="AT153" t="s">
        <v>74</v>
      </c>
      <c r="AU153">
        <v>2003</v>
      </c>
      <c r="AV153">
        <v>100</v>
      </c>
      <c r="AW153">
        <v>3</v>
      </c>
      <c r="AX153" t="s">
        <v>74</v>
      </c>
      <c r="AY153" t="s">
        <v>74</v>
      </c>
      <c r="AZ153" t="s">
        <v>74</v>
      </c>
      <c r="BA153" t="s">
        <v>74</v>
      </c>
      <c r="BB153">
        <v>305</v>
      </c>
      <c r="BC153">
        <v>312</v>
      </c>
      <c r="BD153" t="s">
        <v>74</v>
      </c>
      <c r="BE153" t="s">
        <v>2040</v>
      </c>
      <c r="BF153" t="str">
        <f>HYPERLINK("http://dx.doi.org/10.14411/eje.2003.049","http://dx.doi.org/10.14411/eje.2003.049")</f>
        <v>http://dx.doi.org/10.14411/eje.2003.049</v>
      </c>
      <c r="BG153" t="s">
        <v>74</v>
      </c>
      <c r="BH153" t="s">
        <v>74</v>
      </c>
      <c r="BI153">
        <v>8</v>
      </c>
      <c r="BJ153" t="s">
        <v>2041</v>
      </c>
      <c r="BK153" t="s">
        <v>569</v>
      </c>
      <c r="BL153" t="s">
        <v>2041</v>
      </c>
      <c r="BM153" t="s">
        <v>2042</v>
      </c>
      <c r="BN153" t="s">
        <v>74</v>
      </c>
      <c r="BO153" t="s">
        <v>2043</v>
      </c>
      <c r="BP153" t="s">
        <v>74</v>
      </c>
      <c r="BQ153" t="s">
        <v>74</v>
      </c>
      <c r="BR153" t="s">
        <v>98</v>
      </c>
      <c r="BS153" t="s">
        <v>2044</v>
      </c>
      <c r="BT153" t="str">
        <f>HYPERLINK("https%3A%2F%2Fwww.webofscience.com%2Fwos%2Fwoscc%2Ffull-record%2FWOS:000184932700001","View Full Record in Web of Science")</f>
        <v>View Full Record in Web of Science</v>
      </c>
    </row>
    <row r="154" spans="1:72" x14ac:dyDescent="0.15">
      <c r="A154" t="s">
        <v>552</v>
      </c>
      <c r="B154" t="s">
        <v>2045</v>
      </c>
      <c r="C154" t="s">
        <v>74</v>
      </c>
      <c r="D154" t="s">
        <v>74</v>
      </c>
      <c r="E154" t="s">
        <v>74</v>
      </c>
      <c r="F154" t="s">
        <v>2046</v>
      </c>
      <c r="G154" t="s">
        <v>74</v>
      </c>
      <c r="H154" t="s">
        <v>74</v>
      </c>
      <c r="I154" t="s">
        <v>2047</v>
      </c>
      <c r="J154" t="s">
        <v>2048</v>
      </c>
      <c r="K154" t="s">
        <v>74</v>
      </c>
      <c r="L154" t="s">
        <v>74</v>
      </c>
      <c r="M154" t="s">
        <v>78</v>
      </c>
      <c r="N154" t="s">
        <v>775</v>
      </c>
      <c r="O154" t="s">
        <v>74</v>
      </c>
      <c r="P154" t="s">
        <v>74</v>
      </c>
      <c r="Q154" t="s">
        <v>74</v>
      </c>
      <c r="R154" t="s">
        <v>74</v>
      </c>
      <c r="S154" t="s">
        <v>74</v>
      </c>
      <c r="T154" t="s">
        <v>2049</v>
      </c>
      <c r="U154" t="s">
        <v>2050</v>
      </c>
      <c r="V154" t="s">
        <v>2051</v>
      </c>
      <c r="W154" t="s">
        <v>2052</v>
      </c>
      <c r="X154" t="s">
        <v>2053</v>
      </c>
      <c r="Y154" t="s">
        <v>2054</v>
      </c>
      <c r="Z154" t="s">
        <v>2055</v>
      </c>
      <c r="AA154" t="s">
        <v>2056</v>
      </c>
      <c r="AB154" t="s">
        <v>74</v>
      </c>
      <c r="AC154" t="s">
        <v>2057</v>
      </c>
      <c r="AD154" t="s">
        <v>2058</v>
      </c>
      <c r="AE154" t="s">
        <v>2059</v>
      </c>
      <c r="AF154" t="s">
        <v>74</v>
      </c>
      <c r="AG154">
        <v>19</v>
      </c>
      <c r="AH154">
        <v>6</v>
      </c>
      <c r="AI154">
        <v>6</v>
      </c>
      <c r="AJ154">
        <v>0</v>
      </c>
      <c r="AK154">
        <v>4</v>
      </c>
      <c r="AL154" t="s">
        <v>2060</v>
      </c>
      <c r="AM154" t="s">
        <v>2061</v>
      </c>
      <c r="AN154" t="s">
        <v>2062</v>
      </c>
      <c r="AO154" t="s">
        <v>2063</v>
      </c>
      <c r="AP154" t="s">
        <v>2064</v>
      </c>
      <c r="AQ154" t="s">
        <v>74</v>
      </c>
      <c r="AR154" t="s">
        <v>2065</v>
      </c>
      <c r="AS154" t="s">
        <v>2066</v>
      </c>
      <c r="AT154" t="s">
        <v>74</v>
      </c>
      <c r="AU154">
        <v>2003</v>
      </c>
      <c r="AV154">
        <v>34</v>
      </c>
      <c r="AW154" t="s">
        <v>1866</v>
      </c>
      <c r="AX154" t="s">
        <v>74</v>
      </c>
      <c r="AY154" t="s">
        <v>74</v>
      </c>
      <c r="AZ154" t="s">
        <v>74</v>
      </c>
      <c r="BA154" t="s">
        <v>74</v>
      </c>
      <c r="BB154">
        <v>46</v>
      </c>
      <c r="BC154">
        <v>50</v>
      </c>
      <c r="BD154" t="s">
        <v>74</v>
      </c>
      <c r="BE154" t="s">
        <v>2067</v>
      </c>
      <c r="BF154" t="str">
        <f>HYPERLINK("http://dx.doi.org/10.1071/EG03046","http://dx.doi.org/10.1071/EG03046")</f>
        <v>http://dx.doi.org/10.1071/EG03046</v>
      </c>
      <c r="BG154" t="s">
        <v>74</v>
      </c>
      <c r="BH154" t="s">
        <v>74</v>
      </c>
      <c r="BI154">
        <v>5</v>
      </c>
      <c r="BJ154" t="s">
        <v>2068</v>
      </c>
      <c r="BK154" t="s">
        <v>569</v>
      </c>
      <c r="BL154" t="s">
        <v>2068</v>
      </c>
      <c r="BM154" t="s">
        <v>2069</v>
      </c>
      <c r="BN154" t="s">
        <v>74</v>
      </c>
      <c r="BO154" t="s">
        <v>74</v>
      </c>
      <c r="BP154" t="s">
        <v>74</v>
      </c>
      <c r="BQ154" t="s">
        <v>74</v>
      </c>
      <c r="BR154" t="s">
        <v>98</v>
      </c>
      <c r="BS154" t="s">
        <v>2070</v>
      </c>
      <c r="BT154" t="str">
        <f>HYPERLINK("https%3A%2F%2Fwww.webofscience.com%2Fwos%2Fwoscc%2Ffull-record%2FWOS:000208402600008","View Full Record in Web of Science")</f>
        <v>View Full Record in Web of Science</v>
      </c>
    </row>
    <row r="155" spans="1:72" x14ac:dyDescent="0.15">
      <c r="A155" t="s">
        <v>72</v>
      </c>
      <c r="B155" t="s">
        <v>2071</v>
      </c>
      <c r="C155" t="s">
        <v>74</v>
      </c>
      <c r="D155" t="s">
        <v>2072</v>
      </c>
      <c r="E155" t="s">
        <v>74</v>
      </c>
      <c r="F155" t="s">
        <v>2071</v>
      </c>
      <c r="G155" t="s">
        <v>74</v>
      </c>
      <c r="H155" t="s">
        <v>74</v>
      </c>
      <c r="I155" t="s">
        <v>2073</v>
      </c>
      <c r="J155" t="s">
        <v>2074</v>
      </c>
      <c r="K155" t="s">
        <v>74</v>
      </c>
      <c r="L155" t="s">
        <v>74</v>
      </c>
      <c r="M155" t="s">
        <v>78</v>
      </c>
      <c r="N155" t="s">
        <v>79</v>
      </c>
      <c r="O155" t="s">
        <v>2075</v>
      </c>
      <c r="P155" t="s">
        <v>2076</v>
      </c>
      <c r="Q155" t="s">
        <v>2077</v>
      </c>
      <c r="R155" t="s">
        <v>74</v>
      </c>
      <c r="S155" t="s">
        <v>74</v>
      </c>
      <c r="T155" t="s">
        <v>2078</v>
      </c>
      <c r="U155" t="s">
        <v>2079</v>
      </c>
      <c r="V155" t="s">
        <v>2080</v>
      </c>
      <c r="W155" t="s">
        <v>2081</v>
      </c>
      <c r="X155" t="s">
        <v>471</v>
      </c>
      <c r="Y155" t="s">
        <v>2082</v>
      </c>
      <c r="Z155" t="s">
        <v>74</v>
      </c>
      <c r="AA155" t="s">
        <v>2083</v>
      </c>
      <c r="AB155" t="s">
        <v>2084</v>
      </c>
      <c r="AC155" t="s">
        <v>74</v>
      </c>
      <c r="AD155" t="s">
        <v>74</v>
      </c>
      <c r="AE155" t="s">
        <v>74</v>
      </c>
      <c r="AF155" t="s">
        <v>74</v>
      </c>
      <c r="AG155">
        <v>8</v>
      </c>
      <c r="AH155">
        <v>0</v>
      </c>
      <c r="AI155">
        <v>0</v>
      </c>
      <c r="AJ155">
        <v>0</v>
      </c>
      <c r="AK155">
        <v>0</v>
      </c>
      <c r="AL155" t="s">
        <v>922</v>
      </c>
      <c r="AM155" t="s">
        <v>923</v>
      </c>
      <c r="AN155" t="s">
        <v>924</v>
      </c>
      <c r="AO155" t="s">
        <v>74</v>
      </c>
      <c r="AP155" t="s">
        <v>74</v>
      </c>
      <c r="AQ155" t="s">
        <v>2085</v>
      </c>
      <c r="AR155" t="s">
        <v>74</v>
      </c>
      <c r="AS155" t="s">
        <v>74</v>
      </c>
      <c r="AT155" t="s">
        <v>74</v>
      </c>
      <c r="AU155">
        <v>2003</v>
      </c>
      <c r="AV155" t="s">
        <v>74</v>
      </c>
      <c r="AW155" t="s">
        <v>74</v>
      </c>
      <c r="AX155" t="s">
        <v>74</v>
      </c>
      <c r="AY155" t="s">
        <v>74</v>
      </c>
      <c r="AZ155" t="s">
        <v>74</v>
      </c>
      <c r="BA155" t="s">
        <v>74</v>
      </c>
      <c r="BB155">
        <v>180</v>
      </c>
      <c r="BC155">
        <v>186</v>
      </c>
      <c r="BD155" t="s">
        <v>74</v>
      </c>
      <c r="BE155" t="s">
        <v>74</v>
      </c>
      <c r="BF155" t="s">
        <v>74</v>
      </c>
      <c r="BG155" t="s">
        <v>74</v>
      </c>
      <c r="BH155" t="s">
        <v>74</v>
      </c>
      <c r="BI155">
        <v>7</v>
      </c>
      <c r="BJ155" t="s">
        <v>2086</v>
      </c>
      <c r="BK155" t="s">
        <v>95</v>
      </c>
      <c r="BL155" t="s">
        <v>2087</v>
      </c>
      <c r="BM155" t="s">
        <v>2088</v>
      </c>
      <c r="BN155" t="s">
        <v>74</v>
      </c>
      <c r="BO155" t="s">
        <v>74</v>
      </c>
      <c r="BP155" t="s">
        <v>74</v>
      </c>
      <c r="BQ155" t="s">
        <v>74</v>
      </c>
      <c r="BR155" t="s">
        <v>98</v>
      </c>
      <c r="BS155" t="s">
        <v>2089</v>
      </c>
      <c r="BT155" t="str">
        <f>HYPERLINK("https%3A%2F%2Fwww.webofscience.com%2Fwos%2Fwoscc%2Ffull-record%2FWOS:000182610900027","View Full Record in Web of Science")</f>
        <v>View Full Record in Web of Science</v>
      </c>
    </row>
    <row r="156" spans="1:72" x14ac:dyDescent="0.15">
      <c r="A156" t="s">
        <v>72</v>
      </c>
      <c r="B156" t="s">
        <v>2090</v>
      </c>
      <c r="C156" t="s">
        <v>74</v>
      </c>
      <c r="D156" t="s">
        <v>2072</v>
      </c>
      <c r="E156" t="s">
        <v>74</v>
      </c>
      <c r="F156" t="s">
        <v>2090</v>
      </c>
      <c r="G156" t="s">
        <v>74</v>
      </c>
      <c r="H156" t="s">
        <v>74</v>
      </c>
      <c r="I156" t="s">
        <v>2091</v>
      </c>
      <c r="J156" t="s">
        <v>2074</v>
      </c>
      <c r="K156" t="s">
        <v>74</v>
      </c>
      <c r="L156" t="s">
        <v>74</v>
      </c>
      <c r="M156" t="s">
        <v>78</v>
      </c>
      <c r="N156" t="s">
        <v>79</v>
      </c>
      <c r="O156" t="s">
        <v>2075</v>
      </c>
      <c r="P156" t="s">
        <v>2076</v>
      </c>
      <c r="Q156" t="s">
        <v>2077</v>
      </c>
      <c r="R156" t="s">
        <v>74</v>
      </c>
      <c r="S156" t="s">
        <v>74</v>
      </c>
      <c r="T156" t="s">
        <v>2092</v>
      </c>
      <c r="U156" t="s">
        <v>2093</v>
      </c>
      <c r="V156" t="s">
        <v>2094</v>
      </c>
      <c r="W156" t="s">
        <v>2081</v>
      </c>
      <c r="X156" t="s">
        <v>471</v>
      </c>
      <c r="Y156" t="s">
        <v>2095</v>
      </c>
      <c r="Z156" t="s">
        <v>74</v>
      </c>
      <c r="AA156" t="s">
        <v>2096</v>
      </c>
      <c r="AB156" t="s">
        <v>2084</v>
      </c>
      <c r="AC156" t="s">
        <v>74</v>
      </c>
      <c r="AD156" t="s">
        <v>74</v>
      </c>
      <c r="AE156" t="s">
        <v>74</v>
      </c>
      <c r="AF156" t="s">
        <v>74</v>
      </c>
      <c r="AG156">
        <v>11</v>
      </c>
      <c r="AH156">
        <v>1</v>
      </c>
      <c r="AI156">
        <v>1</v>
      </c>
      <c r="AJ156">
        <v>0</v>
      </c>
      <c r="AK156">
        <v>1</v>
      </c>
      <c r="AL156" t="s">
        <v>922</v>
      </c>
      <c r="AM156" t="s">
        <v>923</v>
      </c>
      <c r="AN156" t="s">
        <v>924</v>
      </c>
      <c r="AO156" t="s">
        <v>74</v>
      </c>
      <c r="AP156" t="s">
        <v>74</v>
      </c>
      <c r="AQ156" t="s">
        <v>2085</v>
      </c>
      <c r="AR156" t="s">
        <v>74</v>
      </c>
      <c r="AS156" t="s">
        <v>74</v>
      </c>
      <c r="AT156" t="s">
        <v>74</v>
      </c>
      <c r="AU156">
        <v>2003</v>
      </c>
      <c r="AV156" t="s">
        <v>74</v>
      </c>
      <c r="AW156" t="s">
        <v>74</v>
      </c>
      <c r="AX156" t="s">
        <v>74</v>
      </c>
      <c r="AY156" t="s">
        <v>74</v>
      </c>
      <c r="AZ156" t="s">
        <v>74</v>
      </c>
      <c r="BA156" t="s">
        <v>74</v>
      </c>
      <c r="BB156">
        <v>296</v>
      </c>
      <c r="BC156">
        <v>301</v>
      </c>
      <c r="BD156" t="s">
        <v>74</v>
      </c>
      <c r="BE156" t="s">
        <v>74</v>
      </c>
      <c r="BF156" t="s">
        <v>74</v>
      </c>
      <c r="BG156" t="s">
        <v>74</v>
      </c>
      <c r="BH156" t="s">
        <v>74</v>
      </c>
      <c r="BI156">
        <v>6</v>
      </c>
      <c r="BJ156" t="s">
        <v>2086</v>
      </c>
      <c r="BK156" t="s">
        <v>95</v>
      </c>
      <c r="BL156" t="s">
        <v>2087</v>
      </c>
      <c r="BM156" t="s">
        <v>2088</v>
      </c>
      <c r="BN156" t="s">
        <v>74</v>
      </c>
      <c r="BO156" t="s">
        <v>74</v>
      </c>
      <c r="BP156" t="s">
        <v>74</v>
      </c>
      <c r="BQ156" t="s">
        <v>74</v>
      </c>
      <c r="BR156" t="s">
        <v>98</v>
      </c>
      <c r="BS156" t="s">
        <v>2097</v>
      </c>
      <c r="BT156" t="str">
        <f>HYPERLINK("https%3A%2F%2Fwww.webofscience.com%2Fwos%2Fwoscc%2Ffull-record%2FWOS:000182610900043","View Full Record in Web of Science")</f>
        <v>View Full Record in Web of Science</v>
      </c>
    </row>
    <row r="157" spans="1:72" x14ac:dyDescent="0.15">
      <c r="A157" t="s">
        <v>72</v>
      </c>
      <c r="B157" t="s">
        <v>2098</v>
      </c>
      <c r="C157" t="s">
        <v>74</v>
      </c>
      <c r="D157" t="s">
        <v>2072</v>
      </c>
      <c r="E157" t="s">
        <v>74</v>
      </c>
      <c r="F157" t="s">
        <v>2098</v>
      </c>
      <c r="G157" t="s">
        <v>74</v>
      </c>
      <c r="H157" t="s">
        <v>74</v>
      </c>
      <c r="I157" t="s">
        <v>2099</v>
      </c>
      <c r="J157" t="s">
        <v>2074</v>
      </c>
      <c r="K157" t="s">
        <v>74</v>
      </c>
      <c r="L157" t="s">
        <v>74</v>
      </c>
      <c r="M157" t="s">
        <v>78</v>
      </c>
      <c r="N157" t="s">
        <v>79</v>
      </c>
      <c r="O157" t="s">
        <v>2075</v>
      </c>
      <c r="P157" t="s">
        <v>2076</v>
      </c>
      <c r="Q157" t="s">
        <v>2077</v>
      </c>
      <c r="R157" t="s">
        <v>74</v>
      </c>
      <c r="S157" t="s">
        <v>74</v>
      </c>
      <c r="T157" t="s">
        <v>2100</v>
      </c>
      <c r="U157" t="s">
        <v>2101</v>
      </c>
      <c r="V157" t="s">
        <v>2102</v>
      </c>
      <c r="W157" t="s">
        <v>2081</v>
      </c>
      <c r="X157" t="s">
        <v>471</v>
      </c>
      <c r="Y157" t="s">
        <v>2082</v>
      </c>
      <c r="Z157" t="s">
        <v>74</v>
      </c>
      <c r="AA157" t="s">
        <v>2096</v>
      </c>
      <c r="AB157" t="s">
        <v>2084</v>
      </c>
      <c r="AC157" t="s">
        <v>74</v>
      </c>
      <c r="AD157" t="s">
        <v>74</v>
      </c>
      <c r="AE157" t="s">
        <v>74</v>
      </c>
      <c r="AF157" t="s">
        <v>74</v>
      </c>
      <c r="AG157">
        <v>13</v>
      </c>
      <c r="AH157">
        <v>2</v>
      </c>
      <c r="AI157">
        <v>2</v>
      </c>
      <c r="AJ157">
        <v>0</v>
      </c>
      <c r="AK157">
        <v>0</v>
      </c>
      <c r="AL157" t="s">
        <v>922</v>
      </c>
      <c r="AM157" t="s">
        <v>923</v>
      </c>
      <c r="AN157" t="s">
        <v>924</v>
      </c>
      <c r="AO157" t="s">
        <v>74</v>
      </c>
      <c r="AP157" t="s">
        <v>74</v>
      </c>
      <c r="AQ157" t="s">
        <v>2085</v>
      </c>
      <c r="AR157" t="s">
        <v>74</v>
      </c>
      <c r="AS157" t="s">
        <v>74</v>
      </c>
      <c r="AT157" t="s">
        <v>74</v>
      </c>
      <c r="AU157">
        <v>2003</v>
      </c>
      <c r="AV157" t="s">
        <v>74</v>
      </c>
      <c r="AW157" t="s">
        <v>74</v>
      </c>
      <c r="AX157" t="s">
        <v>74</v>
      </c>
      <c r="AY157" t="s">
        <v>74</v>
      </c>
      <c r="AZ157" t="s">
        <v>74</v>
      </c>
      <c r="BA157" t="s">
        <v>74</v>
      </c>
      <c r="BB157">
        <v>309</v>
      </c>
      <c r="BC157">
        <v>314</v>
      </c>
      <c r="BD157" t="s">
        <v>74</v>
      </c>
      <c r="BE157" t="s">
        <v>74</v>
      </c>
      <c r="BF157" t="s">
        <v>74</v>
      </c>
      <c r="BG157" t="s">
        <v>74</v>
      </c>
      <c r="BH157" t="s">
        <v>74</v>
      </c>
      <c r="BI157">
        <v>6</v>
      </c>
      <c r="BJ157" t="s">
        <v>2086</v>
      </c>
      <c r="BK157" t="s">
        <v>95</v>
      </c>
      <c r="BL157" t="s">
        <v>2087</v>
      </c>
      <c r="BM157" t="s">
        <v>2088</v>
      </c>
      <c r="BN157" t="s">
        <v>74</v>
      </c>
      <c r="BO157" t="s">
        <v>74</v>
      </c>
      <c r="BP157" t="s">
        <v>74</v>
      </c>
      <c r="BQ157" t="s">
        <v>74</v>
      </c>
      <c r="BR157" t="s">
        <v>98</v>
      </c>
      <c r="BS157" t="s">
        <v>2103</v>
      </c>
      <c r="BT157" t="str">
        <f>HYPERLINK("https%3A%2F%2Fwww.webofscience.com%2Fwos%2Fwoscc%2Ffull-record%2FWOS:000182610900045","View Full Record in Web of Science")</f>
        <v>View Full Record in Web of Science</v>
      </c>
    </row>
    <row r="158" spans="1:72" x14ac:dyDescent="0.15">
      <c r="A158" t="s">
        <v>552</v>
      </c>
      <c r="B158" t="s">
        <v>2104</v>
      </c>
      <c r="C158" t="s">
        <v>74</v>
      </c>
      <c r="D158" t="s">
        <v>74</v>
      </c>
      <c r="E158" t="s">
        <v>74</v>
      </c>
      <c r="F158" t="s">
        <v>2104</v>
      </c>
      <c r="G158" t="s">
        <v>74</v>
      </c>
      <c r="H158" t="s">
        <v>74</v>
      </c>
      <c r="I158" t="s">
        <v>2105</v>
      </c>
      <c r="J158" t="s">
        <v>2106</v>
      </c>
      <c r="K158" t="s">
        <v>74</v>
      </c>
      <c r="L158" t="s">
        <v>74</v>
      </c>
      <c r="M158" t="s">
        <v>78</v>
      </c>
      <c r="N158" t="s">
        <v>775</v>
      </c>
      <c r="O158" t="s">
        <v>74</v>
      </c>
      <c r="P158" t="s">
        <v>74</v>
      </c>
      <c r="Q158" t="s">
        <v>74</v>
      </c>
      <c r="R158" t="s">
        <v>74</v>
      </c>
      <c r="S158" t="s">
        <v>74</v>
      </c>
      <c r="T158" t="s">
        <v>2107</v>
      </c>
      <c r="U158" t="s">
        <v>2108</v>
      </c>
      <c r="V158" t="s">
        <v>2109</v>
      </c>
      <c r="W158" t="s">
        <v>180</v>
      </c>
      <c r="X158" t="s">
        <v>181</v>
      </c>
      <c r="Y158" t="s">
        <v>2110</v>
      </c>
      <c r="Z158" t="s">
        <v>74</v>
      </c>
      <c r="AA158" t="s">
        <v>2111</v>
      </c>
      <c r="AB158" t="s">
        <v>74</v>
      </c>
      <c r="AC158" t="s">
        <v>74</v>
      </c>
      <c r="AD158" t="s">
        <v>74</v>
      </c>
      <c r="AE158" t="s">
        <v>74</v>
      </c>
      <c r="AF158" t="s">
        <v>74</v>
      </c>
      <c r="AG158">
        <v>52</v>
      </c>
      <c r="AH158">
        <v>16</v>
      </c>
      <c r="AI158">
        <v>16</v>
      </c>
      <c r="AJ158">
        <v>0</v>
      </c>
      <c r="AK158">
        <v>2</v>
      </c>
      <c r="AL158" t="s">
        <v>2112</v>
      </c>
      <c r="AM158" t="s">
        <v>2113</v>
      </c>
      <c r="AN158" t="s">
        <v>2114</v>
      </c>
      <c r="AO158" t="s">
        <v>2115</v>
      </c>
      <c r="AP158" t="s">
        <v>74</v>
      </c>
      <c r="AQ158" t="s">
        <v>74</v>
      </c>
      <c r="AR158" t="s">
        <v>2116</v>
      </c>
      <c r="AS158" t="s">
        <v>2117</v>
      </c>
      <c r="AT158" t="s">
        <v>566</v>
      </c>
      <c r="AU158">
        <v>2003</v>
      </c>
      <c r="AV158">
        <v>14</v>
      </c>
      <c r="AW158">
        <v>1</v>
      </c>
      <c r="AX158" t="s">
        <v>74</v>
      </c>
      <c r="AY158" t="s">
        <v>74</v>
      </c>
      <c r="AZ158" t="s">
        <v>74</v>
      </c>
      <c r="BA158" t="s">
        <v>74</v>
      </c>
      <c r="BB158">
        <v>71</v>
      </c>
      <c r="BC158">
        <v>92</v>
      </c>
      <c r="BD158" t="s">
        <v>74</v>
      </c>
      <c r="BE158" t="s">
        <v>2118</v>
      </c>
      <c r="BF158" t="str">
        <f>HYPERLINK("http://dx.doi.org/10.1006/fsim.2002.0418","http://dx.doi.org/10.1006/fsim.2002.0418")</f>
        <v>http://dx.doi.org/10.1006/fsim.2002.0418</v>
      </c>
      <c r="BG158" t="s">
        <v>74</v>
      </c>
      <c r="BH158" t="s">
        <v>74</v>
      </c>
      <c r="BI158">
        <v>22</v>
      </c>
      <c r="BJ158" t="s">
        <v>2119</v>
      </c>
      <c r="BK158" t="s">
        <v>569</v>
      </c>
      <c r="BL158" t="s">
        <v>2119</v>
      </c>
      <c r="BM158" t="s">
        <v>2120</v>
      </c>
      <c r="BN158">
        <v>12547627</v>
      </c>
      <c r="BO158" t="s">
        <v>74</v>
      </c>
      <c r="BP158" t="s">
        <v>74</v>
      </c>
      <c r="BQ158" t="s">
        <v>74</v>
      </c>
      <c r="BR158" t="s">
        <v>98</v>
      </c>
      <c r="BS158" t="s">
        <v>2121</v>
      </c>
      <c r="BT158" t="str">
        <f>HYPERLINK("https%3A%2F%2Fwww.webofscience.com%2Fwos%2Fwoscc%2Ffull-record%2FWOS:000180765500005","View Full Record in Web of Science")</f>
        <v>View Full Record in Web of Science</v>
      </c>
    </row>
    <row r="159" spans="1:72" x14ac:dyDescent="0.15">
      <c r="A159" t="s">
        <v>552</v>
      </c>
      <c r="B159" t="s">
        <v>2122</v>
      </c>
      <c r="C159" t="s">
        <v>74</v>
      </c>
      <c r="D159" t="s">
        <v>74</v>
      </c>
      <c r="E159" t="s">
        <v>74</v>
      </c>
      <c r="F159" t="s">
        <v>2122</v>
      </c>
      <c r="G159" t="s">
        <v>74</v>
      </c>
      <c r="H159" t="s">
        <v>74</v>
      </c>
      <c r="I159" t="s">
        <v>2123</v>
      </c>
      <c r="J159" t="s">
        <v>2124</v>
      </c>
      <c r="K159" t="s">
        <v>74</v>
      </c>
      <c r="L159" t="s">
        <v>74</v>
      </c>
      <c r="M159" t="s">
        <v>78</v>
      </c>
      <c r="N159" t="s">
        <v>775</v>
      </c>
      <c r="O159" t="s">
        <v>74</v>
      </c>
      <c r="P159" t="s">
        <v>74</v>
      </c>
      <c r="Q159" t="s">
        <v>74</v>
      </c>
      <c r="R159" t="s">
        <v>74</v>
      </c>
      <c r="S159" t="s">
        <v>74</v>
      </c>
      <c r="T159" t="s">
        <v>2125</v>
      </c>
      <c r="U159" t="s">
        <v>2126</v>
      </c>
      <c r="V159" t="s">
        <v>2127</v>
      </c>
      <c r="W159" t="s">
        <v>2128</v>
      </c>
      <c r="X159" t="s">
        <v>2129</v>
      </c>
      <c r="Y159" t="s">
        <v>2130</v>
      </c>
      <c r="Z159" t="s">
        <v>74</v>
      </c>
      <c r="AA159" t="s">
        <v>74</v>
      </c>
      <c r="AB159" t="s">
        <v>74</v>
      </c>
      <c r="AC159" t="s">
        <v>74</v>
      </c>
      <c r="AD159" t="s">
        <v>74</v>
      </c>
      <c r="AE159" t="s">
        <v>74</v>
      </c>
      <c r="AF159" t="s">
        <v>74</v>
      </c>
      <c r="AG159">
        <v>18</v>
      </c>
      <c r="AH159">
        <v>4</v>
      </c>
      <c r="AI159">
        <v>5</v>
      </c>
      <c r="AJ159">
        <v>1</v>
      </c>
      <c r="AK159">
        <v>13</v>
      </c>
      <c r="AL159" t="s">
        <v>2131</v>
      </c>
      <c r="AM159" t="s">
        <v>2132</v>
      </c>
      <c r="AN159" t="s">
        <v>2133</v>
      </c>
      <c r="AO159" t="s">
        <v>2134</v>
      </c>
      <c r="AP159" t="s">
        <v>74</v>
      </c>
      <c r="AQ159" t="s">
        <v>74</v>
      </c>
      <c r="AR159" t="s">
        <v>2124</v>
      </c>
      <c r="AS159" t="s">
        <v>2135</v>
      </c>
      <c r="AT159" t="s">
        <v>74</v>
      </c>
      <c r="AU159">
        <v>2003</v>
      </c>
      <c r="AV159">
        <v>198</v>
      </c>
      <c r="AW159">
        <v>2</v>
      </c>
      <c r="AX159" t="s">
        <v>74</v>
      </c>
      <c r="AY159" t="s">
        <v>74</v>
      </c>
      <c r="AZ159" t="s">
        <v>74</v>
      </c>
      <c r="BA159" t="s">
        <v>74</v>
      </c>
      <c r="BB159">
        <v>118</v>
      </c>
      <c r="BC159">
        <v>126</v>
      </c>
      <c r="BD159" t="s">
        <v>74</v>
      </c>
      <c r="BE159" t="s">
        <v>2136</v>
      </c>
      <c r="BF159" t="str">
        <f>HYPERLINK("http://dx.doi.org/10.1078/0367-2530-00083","http://dx.doi.org/10.1078/0367-2530-00083")</f>
        <v>http://dx.doi.org/10.1078/0367-2530-00083</v>
      </c>
      <c r="BG159" t="s">
        <v>74</v>
      </c>
      <c r="BH159" t="s">
        <v>74</v>
      </c>
      <c r="BI159">
        <v>9</v>
      </c>
      <c r="BJ159" t="s">
        <v>2137</v>
      </c>
      <c r="BK159" t="s">
        <v>569</v>
      </c>
      <c r="BL159" t="s">
        <v>2138</v>
      </c>
      <c r="BM159" t="s">
        <v>2139</v>
      </c>
      <c r="BN159" t="s">
        <v>74</v>
      </c>
      <c r="BO159" t="s">
        <v>74</v>
      </c>
      <c r="BP159" t="s">
        <v>74</v>
      </c>
      <c r="BQ159" t="s">
        <v>74</v>
      </c>
      <c r="BR159" t="s">
        <v>98</v>
      </c>
      <c r="BS159" t="s">
        <v>2140</v>
      </c>
      <c r="BT159" t="str">
        <f>HYPERLINK("https%3A%2F%2Fwww.webofscience.com%2Fwos%2Fwoscc%2Ffull-record%2FWOS:000182322400005","View Full Record in Web of Science")</f>
        <v>View Full Record in Web of Science</v>
      </c>
    </row>
    <row r="160" spans="1:72" x14ac:dyDescent="0.15">
      <c r="A160" t="s">
        <v>552</v>
      </c>
      <c r="B160" t="s">
        <v>2141</v>
      </c>
      <c r="C160" t="s">
        <v>74</v>
      </c>
      <c r="D160" t="s">
        <v>74</v>
      </c>
      <c r="E160" t="s">
        <v>74</v>
      </c>
      <c r="F160" t="s">
        <v>2141</v>
      </c>
      <c r="G160" t="s">
        <v>74</v>
      </c>
      <c r="H160" t="s">
        <v>74</v>
      </c>
      <c r="I160" t="s">
        <v>2142</v>
      </c>
      <c r="J160" t="s">
        <v>2143</v>
      </c>
      <c r="K160" t="s">
        <v>74</v>
      </c>
      <c r="L160" t="s">
        <v>74</v>
      </c>
      <c r="M160" t="s">
        <v>78</v>
      </c>
      <c r="N160" t="s">
        <v>775</v>
      </c>
      <c r="O160" t="s">
        <v>74</v>
      </c>
      <c r="P160" t="s">
        <v>74</v>
      </c>
      <c r="Q160" t="s">
        <v>74</v>
      </c>
      <c r="R160" t="s">
        <v>74</v>
      </c>
      <c r="S160" t="s">
        <v>74</v>
      </c>
      <c r="T160" t="s">
        <v>2144</v>
      </c>
      <c r="U160" t="s">
        <v>2145</v>
      </c>
      <c r="V160" t="s">
        <v>2146</v>
      </c>
      <c r="W160" t="s">
        <v>2147</v>
      </c>
      <c r="X160" t="s">
        <v>433</v>
      </c>
      <c r="Y160" t="s">
        <v>2148</v>
      </c>
      <c r="Z160" t="s">
        <v>2149</v>
      </c>
      <c r="AA160" t="s">
        <v>74</v>
      </c>
      <c r="AB160" t="s">
        <v>74</v>
      </c>
      <c r="AC160" t="s">
        <v>74</v>
      </c>
      <c r="AD160" t="s">
        <v>74</v>
      </c>
      <c r="AE160" t="s">
        <v>74</v>
      </c>
      <c r="AF160" t="s">
        <v>74</v>
      </c>
      <c r="AG160">
        <v>41</v>
      </c>
      <c r="AH160">
        <v>8</v>
      </c>
      <c r="AI160">
        <v>9</v>
      </c>
      <c r="AJ160">
        <v>0</v>
      </c>
      <c r="AK160">
        <v>9</v>
      </c>
      <c r="AL160" t="s">
        <v>2150</v>
      </c>
      <c r="AM160" t="s">
        <v>2151</v>
      </c>
      <c r="AN160" t="s">
        <v>2152</v>
      </c>
      <c r="AO160" t="s">
        <v>2153</v>
      </c>
      <c r="AP160" t="s">
        <v>2154</v>
      </c>
      <c r="AQ160" t="s">
        <v>74</v>
      </c>
      <c r="AR160" t="s">
        <v>2155</v>
      </c>
      <c r="AS160" t="s">
        <v>2156</v>
      </c>
      <c r="AT160" t="s">
        <v>74</v>
      </c>
      <c r="AU160">
        <v>2003</v>
      </c>
      <c r="AV160">
        <v>52</v>
      </c>
      <c r="AW160">
        <v>2</v>
      </c>
      <c r="AX160" t="s">
        <v>74</v>
      </c>
      <c r="AY160" t="s">
        <v>74</v>
      </c>
      <c r="AZ160" t="s">
        <v>74</v>
      </c>
      <c r="BA160" t="s">
        <v>74</v>
      </c>
      <c r="BB160">
        <v>167</v>
      </c>
      <c r="BC160">
        <v>176</v>
      </c>
      <c r="BD160" t="s">
        <v>74</v>
      </c>
      <c r="BE160" t="s">
        <v>74</v>
      </c>
      <c r="BF160" t="s">
        <v>74</v>
      </c>
      <c r="BG160" t="s">
        <v>74</v>
      </c>
      <c r="BH160" t="s">
        <v>74</v>
      </c>
      <c r="BI160">
        <v>10</v>
      </c>
      <c r="BJ160" t="s">
        <v>927</v>
      </c>
      <c r="BK160" t="s">
        <v>569</v>
      </c>
      <c r="BL160" t="s">
        <v>927</v>
      </c>
      <c r="BM160" t="s">
        <v>2157</v>
      </c>
      <c r="BN160" t="s">
        <v>74</v>
      </c>
      <c r="BO160" t="s">
        <v>74</v>
      </c>
      <c r="BP160" t="s">
        <v>74</v>
      </c>
      <c r="BQ160" t="s">
        <v>74</v>
      </c>
      <c r="BR160" t="s">
        <v>98</v>
      </c>
      <c r="BS160" t="s">
        <v>2158</v>
      </c>
      <c r="BT160" t="str">
        <f>HYPERLINK("https%3A%2F%2Fwww.webofscience.com%2Fwos%2Fwoscc%2Ffull-record%2FWOS:000183991900008","View Full Record in Web of Science")</f>
        <v>View Full Record in Web of Science</v>
      </c>
    </row>
    <row r="161" spans="1:72" x14ac:dyDescent="0.15">
      <c r="A161" t="s">
        <v>552</v>
      </c>
      <c r="B161" t="s">
        <v>2159</v>
      </c>
      <c r="C161" t="s">
        <v>74</v>
      </c>
      <c r="D161" t="s">
        <v>74</v>
      </c>
      <c r="E161" t="s">
        <v>74</v>
      </c>
      <c r="F161" t="s">
        <v>2159</v>
      </c>
      <c r="G161" t="s">
        <v>74</v>
      </c>
      <c r="H161" t="s">
        <v>74</v>
      </c>
      <c r="I161" t="s">
        <v>2160</v>
      </c>
      <c r="J161" t="s">
        <v>2161</v>
      </c>
      <c r="K161" t="s">
        <v>74</v>
      </c>
      <c r="L161" t="s">
        <v>74</v>
      </c>
      <c r="M161" t="s">
        <v>78</v>
      </c>
      <c r="N161" t="s">
        <v>52</v>
      </c>
      <c r="O161" t="s">
        <v>2162</v>
      </c>
      <c r="P161" t="s">
        <v>2163</v>
      </c>
      <c r="Q161" t="s">
        <v>2164</v>
      </c>
      <c r="R161" t="s">
        <v>74</v>
      </c>
      <c r="S161" t="s">
        <v>74</v>
      </c>
      <c r="T161" t="s">
        <v>74</v>
      </c>
      <c r="U161" t="s">
        <v>74</v>
      </c>
      <c r="V161" t="s">
        <v>74</v>
      </c>
      <c r="W161" t="s">
        <v>2165</v>
      </c>
      <c r="X161" t="s">
        <v>2166</v>
      </c>
      <c r="Y161" t="s">
        <v>74</v>
      </c>
      <c r="Z161" t="s">
        <v>74</v>
      </c>
      <c r="AA161" t="s">
        <v>74</v>
      </c>
      <c r="AB161" t="s">
        <v>74</v>
      </c>
      <c r="AC161" t="s">
        <v>74</v>
      </c>
      <c r="AD161" t="s">
        <v>74</v>
      </c>
      <c r="AE161" t="s">
        <v>74</v>
      </c>
      <c r="AF161" t="s">
        <v>74</v>
      </c>
      <c r="AG161">
        <v>0</v>
      </c>
      <c r="AH161">
        <v>0</v>
      </c>
      <c r="AI161">
        <v>0</v>
      </c>
      <c r="AJ161">
        <v>0</v>
      </c>
      <c r="AK161">
        <v>4</v>
      </c>
      <c r="AL161" t="s">
        <v>2060</v>
      </c>
      <c r="AM161" t="s">
        <v>2061</v>
      </c>
      <c r="AN161" t="s">
        <v>2167</v>
      </c>
      <c r="AO161" t="s">
        <v>2168</v>
      </c>
      <c r="AP161" t="s">
        <v>74</v>
      </c>
      <c r="AQ161" t="s">
        <v>74</v>
      </c>
      <c r="AR161" t="s">
        <v>2169</v>
      </c>
      <c r="AS161" t="s">
        <v>2170</v>
      </c>
      <c r="AT161" t="s">
        <v>74</v>
      </c>
      <c r="AU161">
        <v>2003</v>
      </c>
      <c r="AV161">
        <v>37</v>
      </c>
      <c r="AW161" t="s">
        <v>74</v>
      </c>
      <c r="AX161" t="s">
        <v>74</v>
      </c>
      <c r="AY161">
        <v>2</v>
      </c>
      <c r="AZ161" t="s">
        <v>74</v>
      </c>
      <c r="BA161" t="s">
        <v>74</v>
      </c>
      <c r="BB161">
        <v>38</v>
      </c>
      <c r="BC161">
        <v>38</v>
      </c>
      <c r="BD161" t="s">
        <v>74</v>
      </c>
      <c r="BE161" t="s">
        <v>74</v>
      </c>
      <c r="BF161" t="s">
        <v>74</v>
      </c>
      <c r="BG161" t="s">
        <v>74</v>
      </c>
      <c r="BH161" t="s">
        <v>74</v>
      </c>
      <c r="BI161">
        <v>1</v>
      </c>
      <c r="BJ161" t="s">
        <v>2171</v>
      </c>
      <c r="BK161" t="s">
        <v>589</v>
      </c>
      <c r="BL161" t="s">
        <v>2171</v>
      </c>
      <c r="BM161" t="s">
        <v>2172</v>
      </c>
      <c r="BN161" t="s">
        <v>74</v>
      </c>
      <c r="BO161" t="s">
        <v>74</v>
      </c>
      <c r="BP161" t="s">
        <v>74</v>
      </c>
      <c r="BQ161" t="s">
        <v>74</v>
      </c>
      <c r="BR161" t="s">
        <v>98</v>
      </c>
      <c r="BS161" t="s">
        <v>2173</v>
      </c>
      <c r="BT161" t="str">
        <f>HYPERLINK("https%3A%2F%2Fwww.webofscience.com%2Fwos%2Fwoscc%2Ffull-record%2FWOS:000185828100090","View Full Record in Web of Science")</f>
        <v>View Full Record in Web of Science</v>
      </c>
    </row>
    <row r="162" spans="1:72" x14ac:dyDescent="0.15">
      <c r="A162" t="s">
        <v>72</v>
      </c>
      <c r="B162" t="s">
        <v>2174</v>
      </c>
      <c r="C162" t="s">
        <v>74</v>
      </c>
      <c r="D162" t="s">
        <v>2175</v>
      </c>
      <c r="E162" t="s">
        <v>74</v>
      </c>
      <c r="F162" t="s">
        <v>2174</v>
      </c>
      <c r="G162" t="s">
        <v>74</v>
      </c>
      <c r="H162" t="s">
        <v>2176</v>
      </c>
      <c r="I162" t="s">
        <v>2177</v>
      </c>
      <c r="J162" t="s">
        <v>2178</v>
      </c>
      <c r="K162" t="s">
        <v>2179</v>
      </c>
      <c r="L162" t="s">
        <v>74</v>
      </c>
      <c r="M162" t="s">
        <v>78</v>
      </c>
      <c r="N162" t="s">
        <v>79</v>
      </c>
      <c r="O162" t="s">
        <v>2180</v>
      </c>
      <c r="P162" t="s">
        <v>2181</v>
      </c>
      <c r="Q162" t="s">
        <v>2182</v>
      </c>
      <c r="R162" t="s">
        <v>74</v>
      </c>
      <c r="S162" t="s">
        <v>74</v>
      </c>
      <c r="T162" t="s">
        <v>74</v>
      </c>
      <c r="U162" t="s">
        <v>2183</v>
      </c>
      <c r="V162" t="s">
        <v>2184</v>
      </c>
      <c r="W162" t="s">
        <v>2185</v>
      </c>
      <c r="X162" t="s">
        <v>2186</v>
      </c>
      <c r="Y162" t="s">
        <v>2187</v>
      </c>
      <c r="Z162" t="s">
        <v>2188</v>
      </c>
      <c r="AA162" t="s">
        <v>74</v>
      </c>
      <c r="AB162" t="s">
        <v>74</v>
      </c>
      <c r="AC162" t="s">
        <v>74</v>
      </c>
      <c r="AD162" t="s">
        <v>74</v>
      </c>
      <c r="AE162" t="s">
        <v>74</v>
      </c>
      <c r="AF162" t="s">
        <v>74</v>
      </c>
      <c r="AG162">
        <v>15</v>
      </c>
      <c r="AH162">
        <v>0</v>
      </c>
      <c r="AI162">
        <v>0</v>
      </c>
      <c r="AJ162">
        <v>0</v>
      </c>
      <c r="AK162">
        <v>0</v>
      </c>
      <c r="AL162" t="s">
        <v>2189</v>
      </c>
      <c r="AM162" t="s">
        <v>2190</v>
      </c>
      <c r="AN162" t="s">
        <v>2191</v>
      </c>
      <c r="AO162" t="s">
        <v>2192</v>
      </c>
      <c r="AP162" t="s">
        <v>74</v>
      </c>
      <c r="AQ162" t="s">
        <v>2193</v>
      </c>
      <c r="AR162" t="s">
        <v>2194</v>
      </c>
      <c r="AS162" t="s">
        <v>74</v>
      </c>
      <c r="AT162" t="s">
        <v>74</v>
      </c>
      <c r="AU162">
        <v>2003</v>
      </c>
      <c r="AV162">
        <v>662</v>
      </c>
      <c r="AW162" t="s">
        <v>74</v>
      </c>
      <c r="AX162" t="s">
        <v>74</v>
      </c>
      <c r="AY162" t="s">
        <v>74</v>
      </c>
      <c r="AZ162" t="s">
        <v>74</v>
      </c>
      <c r="BA162" t="s">
        <v>74</v>
      </c>
      <c r="BB162">
        <v>150</v>
      </c>
      <c r="BC162">
        <v>152</v>
      </c>
      <c r="BD162" t="s">
        <v>74</v>
      </c>
      <c r="BE162" t="s">
        <v>74</v>
      </c>
      <c r="BF162" t="s">
        <v>74</v>
      </c>
      <c r="BG162" t="s">
        <v>74</v>
      </c>
      <c r="BH162" t="s">
        <v>74</v>
      </c>
      <c r="BI162">
        <v>3</v>
      </c>
      <c r="BJ162" t="s">
        <v>2195</v>
      </c>
      <c r="BK162" t="s">
        <v>95</v>
      </c>
      <c r="BL162" t="s">
        <v>2196</v>
      </c>
      <c r="BM162" t="s">
        <v>2197</v>
      </c>
      <c r="BN162" t="s">
        <v>74</v>
      </c>
      <c r="BO162" t="s">
        <v>74</v>
      </c>
      <c r="BP162" t="s">
        <v>74</v>
      </c>
      <c r="BQ162" t="s">
        <v>74</v>
      </c>
      <c r="BR162" t="s">
        <v>98</v>
      </c>
      <c r="BS162" t="s">
        <v>2198</v>
      </c>
      <c r="BT162" t="str">
        <f>HYPERLINK("https%3A%2F%2Fwww.webofscience.com%2Fwos%2Fwoscc%2Ffull-record%2FWOS:000183012900035","View Full Record in Web of Science")</f>
        <v>View Full Record in Web of Science</v>
      </c>
    </row>
    <row r="163" spans="1:72" x14ac:dyDescent="0.15">
      <c r="A163" t="s">
        <v>552</v>
      </c>
      <c r="B163" t="s">
        <v>2199</v>
      </c>
      <c r="C163" t="s">
        <v>74</v>
      </c>
      <c r="D163" t="s">
        <v>74</v>
      </c>
      <c r="E163" t="s">
        <v>74</v>
      </c>
      <c r="F163" t="s">
        <v>2199</v>
      </c>
      <c r="G163" t="s">
        <v>74</v>
      </c>
      <c r="H163" t="s">
        <v>74</v>
      </c>
      <c r="I163" t="s">
        <v>2200</v>
      </c>
      <c r="J163" t="s">
        <v>2201</v>
      </c>
      <c r="K163" t="s">
        <v>74</v>
      </c>
      <c r="L163" t="s">
        <v>74</v>
      </c>
      <c r="M163" t="s">
        <v>78</v>
      </c>
      <c r="N163" t="s">
        <v>775</v>
      </c>
      <c r="O163" t="s">
        <v>74</v>
      </c>
      <c r="P163" t="s">
        <v>74</v>
      </c>
      <c r="Q163" t="s">
        <v>74</v>
      </c>
      <c r="R163" t="s">
        <v>74</v>
      </c>
      <c r="S163" t="s">
        <v>74</v>
      </c>
      <c r="T163" t="s">
        <v>74</v>
      </c>
      <c r="U163" t="s">
        <v>2202</v>
      </c>
      <c r="V163" t="s">
        <v>2203</v>
      </c>
      <c r="W163" t="s">
        <v>2204</v>
      </c>
      <c r="X163" t="s">
        <v>2205</v>
      </c>
      <c r="Y163" t="s">
        <v>2206</v>
      </c>
      <c r="Z163" t="s">
        <v>2207</v>
      </c>
      <c r="AA163" t="s">
        <v>74</v>
      </c>
      <c r="AB163" t="s">
        <v>74</v>
      </c>
      <c r="AC163" t="s">
        <v>74</v>
      </c>
      <c r="AD163" t="s">
        <v>74</v>
      </c>
      <c r="AE163" t="s">
        <v>74</v>
      </c>
      <c r="AF163" t="s">
        <v>74</v>
      </c>
      <c r="AG163">
        <v>36</v>
      </c>
      <c r="AH163">
        <v>42</v>
      </c>
      <c r="AI163">
        <v>48</v>
      </c>
      <c r="AJ163">
        <v>1</v>
      </c>
      <c r="AK163">
        <v>21</v>
      </c>
      <c r="AL163" t="s">
        <v>2208</v>
      </c>
      <c r="AM163" t="s">
        <v>2209</v>
      </c>
      <c r="AN163" t="s">
        <v>2210</v>
      </c>
      <c r="AO163" t="s">
        <v>2211</v>
      </c>
      <c r="AP163" t="s">
        <v>2212</v>
      </c>
      <c r="AQ163" t="s">
        <v>74</v>
      </c>
      <c r="AR163" t="s">
        <v>2213</v>
      </c>
      <c r="AS163" t="s">
        <v>2214</v>
      </c>
      <c r="AT163" t="s">
        <v>74</v>
      </c>
      <c r="AU163">
        <v>2003</v>
      </c>
      <c r="AV163">
        <v>37</v>
      </c>
      <c r="AW163">
        <v>1</v>
      </c>
      <c r="AX163" t="s">
        <v>74</v>
      </c>
      <c r="AY163" t="s">
        <v>74</v>
      </c>
      <c r="AZ163" t="s">
        <v>74</v>
      </c>
      <c r="BA163" t="s">
        <v>74</v>
      </c>
      <c r="BB163">
        <v>47</v>
      </c>
      <c r="BC163">
        <v>62</v>
      </c>
      <c r="BD163" t="s">
        <v>74</v>
      </c>
      <c r="BE163" t="s">
        <v>2215</v>
      </c>
      <c r="BF163" t="str">
        <f>HYPERLINK("http://dx.doi.org/10.2343/geochemj.37.47","http://dx.doi.org/10.2343/geochemj.37.47")</f>
        <v>http://dx.doi.org/10.2343/geochemj.37.47</v>
      </c>
      <c r="BG163" t="s">
        <v>74</v>
      </c>
      <c r="BH163" t="s">
        <v>74</v>
      </c>
      <c r="BI163">
        <v>16</v>
      </c>
      <c r="BJ163" t="s">
        <v>2068</v>
      </c>
      <c r="BK163" t="s">
        <v>569</v>
      </c>
      <c r="BL163" t="s">
        <v>2068</v>
      </c>
      <c r="BM163" t="s">
        <v>2216</v>
      </c>
      <c r="BN163" t="s">
        <v>74</v>
      </c>
      <c r="BO163" t="s">
        <v>2217</v>
      </c>
      <c r="BP163" t="s">
        <v>74</v>
      </c>
      <c r="BQ163" t="s">
        <v>74</v>
      </c>
      <c r="BR163" t="s">
        <v>98</v>
      </c>
      <c r="BS163" t="s">
        <v>2218</v>
      </c>
      <c r="BT163" t="str">
        <f>HYPERLINK("https%3A%2F%2Fwww.webofscience.com%2Fwos%2Fwoscc%2Ffull-record%2FWOS:000180943200004","View Full Record in Web of Science")</f>
        <v>View Full Record in Web of Science</v>
      </c>
    </row>
    <row r="164" spans="1:72" x14ac:dyDescent="0.15">
      <c r="A164" t="s">
        <v>552</v>
      </c>
      <c r="B164" t="s">
        <v>2219</v>
      </c>
      <c r="C164" t="s">
        <v>74</v>
      </c>
      <c r="D164" t="s">
        <v>74</v>
      </c>
      <c r="E164" t="s">
        <v>74</v>
      </c>
      <c r="F164" t="s">
        <v>2219</v>
      </c>
      <c r="G164" t="s">
        <v>74</v>
      </c>
      <c r="H164" t="s">
        <v>74</v>
      </c>
      <c r="I164" t="s">
        <v>2220</v>
      </c>
      <c r="J164" t="s">
        <v>2201</v>
      </c>
      <c r="K164" t="s">
        <v>74</v>
      </c>
      <c r="L164" t="s">
        <v>74</v>
      </c>
      <c r="M164" t="s">
        <v>78</v>
      </c>
      <c r="N164" t="s">
        <v>775</v>
      </c>
      <c r="O164" t="s">
        <v>74</v>
      </c>
      <c r="P164" t="s">
        <v>74</v>
      </c>
      <c r="Q164" t="s">
        <v>74</v>
      </c>
      <c r="R164" t="s">
        <v>74</v>
      </c>
      <c r="S164" t="s">
        <v>74</v>
      </c>
      <c r="T164" t="s">
        <v>74</v>
      </c>
      <c r="U164" t="s">
        <v>74</v>
      </c>
      <c r="V164" t="s">
        <v>2221</v>
      </c>
      <c r="W164" t="s">
        <v>2222</v>
      </c>
      <c r="X164" t="s">
        <v>2223</v>
      </c>
      <c r="Y164" t="s">
        <v>2224</v>
      </c>
      <c r="Z164" t="s">
        <v>2225</v>
      </c>
      <c r="AA164" t="s">
        <v>74</v>
      </c>
      <c r="AB164" t="s">
        <v>74</v>
      </c>
      <c r="AC164" t="s">
        <v>74</v>
      </c>
      <c r="AD164" t="s">
        <v>74</v>
      </c>
      <c r="AE164" t="s">
        <v>74</v>
      </c>
      <c r="AF164" t="s">
        <v>74</v>
      </c>
      <c r="AG164">
        <v>8</v>
      </c>
      <c r="AH164">
        <v>0</v>
      </c>
      <c r="AI164">
        <v>0</v>
      </c>
      <c r="AJ164">
        <v>0</v>
      </c>
      <c r="AK164">
        <v>1</v>
      </c>
      <c r="AL164" t="s">
        <v>2208</v>
      </c>
      <c r="AM164" t="s">
        <v>2209</v>
      </c>
      <c r="AN164" t="s">
        <v>2210</v>
      </c>
      <c r="AO164" t="s">
        <v>2211</v>
      </c>
      <c r="AP164" t="s">
        <v>2212</v>
      </c>
      <c r="AQ164" t="s">
        <v>74</v>
      </c>
      <c r="AR164" t="s">
        <v>2213</v>
      </c>
      <c r="AS164" t="s">
        <v>2214</v>
      </c>
      <c r="AT164" t="s">
        <v>74</v>
      </c>
      <c r="AU164">
        <v>2003</v>
      </c>
      <c r="AV164">
        <v>37</v>
      </c>
      <c r="AW164">
        <v>1</v>
      </c>
      <c r="AX164" t="s">
        <v>74</v>
      </c>
      <c r="AY164" t="s">
        <v>74</v>
      </c>
      <c r="AZ164" t="s">
        <v>74</v>
      </c>
      <c r="BA164" t="s">
        <v>74</v>
      </c>
      <c r="BB164">
        <v>79</v>
      </c>
      <c r="BC164">
        <v>86</v>
      </c>
      <c r="BD164" t="s">
        <v>74</v>
      </c>
      <c r="BE164" t="s">
        <v>2226</v>
      </c>
      <c r="BF164" t="str">
        <f>HYPERLINK("http://dx.doi.org/10.2343/geochemj.37.79","http://dx.doi.org/10.2343/geochemj.37.79")</f>
        <v>http://dx.doi.org/10.2343/geochemj.37.79</v>
      </c>
      <c r="BG164" t="s">
        <v>74</v>
      </c>
      <c r="BH164" t="s">
        <v>74</v>
      </c>
      <c r="BI164">
        <v>8</v>
      </c>
      <c r="BJ164" t="s">
        <v>2068</v>
      </c>
      <c r="BK164" t="s">
        <v>569</v>
      </c>
      <c r="BL164" t="s">
        <v>2068</v>
      </c>
      <c r="BM164" t="s">
        <v>2216</v>
      </c>
      <c r="BN164" t="s">
        <v>74</v>
      </c>
      <c r="BO164" t="s">
        <v>2217</v>
      </c>
      <c r="BP164" t="s">
        <v>74</v>
      </c>
      <c r="BQ164" t="s">
        <v>74</v>
      </c>
      <c r="BR164" t="s">
        <v>98</v>
      </c>
      <c r="BS164" t="s">
        <v>2227</v>
      </c>
      <c r="BT164" t="str">
        <f>HYPERLINK("https%3A%2F%2Fwww.webofscience.com%2Fwos%2Fwoscc%2Ffull-record%2FWOS:000180943200006","View Full Record in Web of Science")</f>
        <v>View Full Record in Web of Science</v>
      </c>
    </row>
    <row r="165" spans="1:72" x14ac:dyDescent="0.15">
      <c r="A165" t="s">
        <v>552</v>
      </c>
      <c r="B165" t="s">
        <v>2228</v>
      </c>
      <c r="C165" t="s">
        <v>74</v>
      </c>
      <c r="D165" t="s">
        <v>74</v>
      </c>
      <c r="E165" t="s">
        <v>74</v>
      </c>
      <c r="F165" t="s">
        <v>2228</v>
      </c>
      <c r="G165" t="s">
        <v>74</v>
      </c>
      <c r="H165" t="s">
        <v>74</v>
      </c>
      <c r="I165" t="s">
        <v>2229</v>
      </c>
      <c r="J165" t="s">
        <v>2230</v>
      </c>
      <c r="K165" t="s">
        <v>74</v>
      </c>
      <c r="L165" t="s">
        <v>74</v>
      </c>
      <c r="M165" t="s">
        <v>78</v>
      </c>
      <c r="N165" t="s">
        <v>775</v>
      </c>
      <c r="O165" t="s">
        <v>74</v>
      </c>
      <c r="P165" t="s">
        <v>74</v>
      </c>
      <c r="Q165" t="s">
        <v>74</v>
      </c>
      <c r="R165" t="s">
        <v>74</v>
      </c>
      <c r="S165" t="s">
        <v>74</v>
      </c>
      <c r="T165" t="s">
        <v>74</v>
      </c>
      <c r="U165" t="s">
        <v>2231</v>
      </c>
      <c r="V165" t="s">
        <v>2232</v>
      </c>
      <c r="W165" t="s">
        <v>2233</v>
      </c>
      <c r="X165" t="s">
        <v>2234</v>
      </c>
      <c r="Y165" t="s">
        <v>2235</v>
      </c>
      <c r="Z165" t="s">
        <v>74</v>
      </c>
      <c r="AA165" t="s">
        <v>2236</v>
      </c>
      <c r="AB165" t="s">
        <v>74</v>
      </c>
      <c r="AC165" t="s">
        <v>74</v>
      </c>
      <c r="AD165" t="s">
        <v>74</v>
      </c>
      <c r="AE165" t="s">
        <v>74</v>
      </c>
      <c r="AF165" t="s">
        <v>74</v>
      </c>
      <c r="AG165">
        <v>53</v>
      </c>
      <c r="AH165">
        <v>13</v>
      </c>
      <c r="AI165">
        <v>13</v>
      </c>
      <c r="AJ165">
        <v>0</v>
      </c>
      <c r="AK165">
        <v>5</v>
      </c>
      <c r="AL165" t="s">
        <v>1807</v>
      </c>
      <c r="AM165" t="s">
        <v>1808</v>
      </c>
      <c r="AN165" t="s">
        <v>1809</v>
      </c>
      <c r="AO165" t="s">
        <v>2237</v>
      </c>
      <c r="AP165" t="s">
        <v>74</v>
      </c>
      <c r="AQ165" t="s">
        <v>74</v>
      </c>
      <c r="AR165" t="s">
        <v>2238</v>
      </c>
      <c r="AS165" t="s">
        <v>2239</v>
      </c>
      <c r="AT165" t="s">
        <v>566</v>
      </c>
      <c r="AU165">
        <v>2003</v>
      </c>
      <c r="AV165">
        <v>41</v>
      </c>
      <c r="AW165">
        <v>1</v>
      </c>
      <c r="AX165" t="s">
        <v>74</v>
      </c>
      <c r="AY165" t="s">
        <v>74</v>
      </c>
      <c r="AZ165" t="s">
        <v>74</v>
      </c>
      <c r="BA165" t="s">
        <v>74</v>
      </c>
      <c r="BB165">
        <v>1</v>
      </c>
      <c r="BC165">
        <v>20</v>
      </c>
      <c r="BD165" t="s">
        <v>74</v>
      </c>
      <c r="BE165" t="s">
        <v>74</v>
      </c>
      <c r="BF165" t="s">
        <v>74</v>
      </c>
      <c r="BG165" t="s">
        <v>74</v>
      </c>
      <c r="BH165" t="s">
        <v>74</v>
      </c>
      <c r="BI165">
        <v>20</v>
      </c>
      <c r="BJ165" t="s">
        <v>2068</v>
      </c>
      <c r="BK165" t="s">
        <v>569</v>
      </c>
      <c r="BL165" t="s">
        <v>2068</v>
      </c>
      <c r="BM165" t="s">
        <v>2240</v>
      </c>
      <c r="BN165" t="s">
        <v>74</v>
      </c>
      <c r="BO165" t="s">
        <v>74</v>
      </c>
      <c r="BP165" t="s">
        <v>74</v>
      </c>
      <c r="BQ165" t="s">
        <v>74</v>
      </c>
      <c r="BR165" t="s">
        <v>98</v>
      </c>
      <c r="BS165" t="s">
        <v>2241</v>
      </c>
      <c r="BT165" t="str">
        <f>HYPERLINK("https%3A%2F%2Fwww.webofscience.com%2Fwos%2Fwoscc%2Ffull-record%2FWOS:000180734300001","View Full Record in Web of Science")</f>
        <v>View Full Record in Web of Science</v>
      </c>
    </row>
    <row r="166" spans="1:72" x14ac:dyDescent="0.15">
      <c r="A166" t="s">
        <v>552</v>
      </c>
      <c r="B166" t="s">
        <v>2242</v>
      </c>
      <c r="C166" t="s">
        <v>74</v>
      </c>
      <c r="D166" t="s">
        <v>74</v>
      </c>
      <c r="E166" t="s">
        <v>74</v>
      </c>
      <c r="F166" t="s">
        <v>2242</v>
      </c>
      <c r="G166" t="s">
        <v>74</v>
      </c>
      <c r="H166" t="s">
        <v>74</v>
      </c>
      <c r="I166" t="s">
        <v>2243</v>
      </c>
      <c r="J166" t="s">
        <v>2244</v>
      </c>
      <c r="K166" t="s">
        <v>74</v>
      </c>
      <c r="L166" t="s">
        <v>74</v>
      </c>
      <c r="M166" t="s">
        <v>78</v>
      </c>
      <c r="N166" t="s">
        <v>556</v>
      </c>
      <c r="O166" t="s">
        <v>74</v>
      </c>
      <c r="P166" t="s">
        <v>74</v>
      </c>
      <c r="Q166" t="s">
        <v>74</v>
      </c>
      <c r="R166" t="s">
        <v>74</v>
      </c>
      <c r="S166" t="s">
        <v>74</v>
      </c>
      <c r="T166" t="s">
        <v>74</v>
      </c>
      <c r="U166" t="s">
        <v>74</v>
      </c>
      <c r="V166" t="s">
        <v>2245</v>
      </c>
      <c r="W166" t="s">
        <v>2246</v>
      </c>
      <c r="X166" t="s">
        <v>2247</v>
      </c>
      <c r="Y166" t="s">
        <v>2248</v>
      </c>
      <c r="Z166" t="s">
        <v>74</v>
      </c>
      <c r="AA166" t="s">
        <v>74</v>
      </c>
      <c r="AB166" t="s">
        <v>74</v>
      </c>
      <c r="AC166" t="s">
        <v>74</v>
      </c>
      <c r="AD166" t="s">
        <v>74</v>
      </c>
      <c r="AE166" t="s">
        <v>74</v>
      </c>
      <c r="AF166" t="s">
        <v>74</v>
      </c>
      <c r="AG166">
        <v>13</v>
      </c>
      <c r="AH166">
        <v>5</v>
      </c>
      <c r="AI166">
        <v>6</v>
      </c>
      <c r="AJ166">
        <v>0</v>
      </c>
      <c r="AK166">
        <v>0</v>
      </c>
      <c r="AL166" t="s">
        <v>1807</v>
      </c>
      <c r="AM166" t="s">
        <v>1808</v>
      </c>
      <c r="AN166" t="s">
        <v>1809</v>
      </c>
      <c r="AO166" t="s">
        <v>2249</v>
      </c>
      <c r="AP166" t="s">
        <v>74</v>
      </c>
      <c r="AQ166" t="s">
        <v>74</v>
      </c>
      <c r="AR166" t="s">
        <v>2250</v>
      </c>
      <c r="AS166" t="s">
        <v>2251</v>
      </c>
      <c r="AT166" t="s">
        <v>790</v>
      </c>
      <c r="AU166">
        <v>2003</v>
      </c>
      <c r="AV166">
        <v>43</v>
      </c>
      <c r="AW166">
        <v>1</v>
      </c>
      <c r="AX166" t="s">
        <v>74</v>
      </c>
      <c r="AY166" t="s">
        <v>74</v>
      </c>
      <c r="AZ166" t="s">
        <v>74</v>
      </c>
      <c r="BA166" t="s">
        <v>74</v>
      </c>
      <c r="BB166">
        <v>128</v>
      </c>
      <c r="BC166">
        <v>133</v>
      </c>
      <c r="BD166" t="s">
        <v>74</v>
      </c>
      <c r="BE166" t="s">
        <v>74</v>
      </c>
      <c r="BF166" t="s">
        <v>74</v>
      </c>
      <c r="BG166" t="s">
        <v>74</v>
      </c>
      <c r="BH166" t="s">
        <v>74</v>
      </c>
      <c r="BI166">
        <v>6</v>
      </c>
      <c r="BJ166" t="s">
        <v>2068</v>
      </c>
      <c r="BK166" t="s">
        <v>569</v>
      </c>
      <c r="BL166" t="s">
        <v>2068</v>
      </c>
      <c r="BM166" t="s">
        <v>2252</v>
      </c>
      <c r="BN166" t="s">
        <v>74</v>
      </c>
      <c r="BO166" t="s">
        <v>74</v>
      </c>
      <c r="BP166" t="s">
        <v>74</v>
      </c>
      <c r="BQ166" t="s">
        <v>74</v>
      </c>
      <c r="BR166" t="s">
        <v>98</v>
      </c>
      <c r="BS166" t="s">
        <v>2253</v>
      </c>
      <c r="BT166" t="str">
        <f>HYPERLINK("https%3A%2F%2Fwww.webofscience.com%2Fwos%2Fwoscc%2Ffull-record%2FWOS:000181223200022","View Full Record in Web of Science")</f>
        <v>View Full Record in Web of Science</v>
      </c>
    </row>
    <row r="167" spans="1:72" x14ac:dyDescent="0.15">
      <c r="A167" t="s">
        <v>552</v>
      </c>
      <c r="B167" t="s">
        <v>2254</v>
      </c>
      <c r="C167" t="s">
        <v>74</v>
      </c>
      <c r="D167" t="s">
        <v>74</v>
      </c>
      <c r="E167" t="s">
        <v>74</v>
      </c>
      <c r="F167" t="s">
        <v>2254</v>
      </c>
      <c r="G167" t="s">
        <v>74</v>
      </c>
      <c r="H167" t="s">
        <v>74</v>
      </c>
      <c r="I167" t="s">
        <v>2255</v>
      </c>
      <c r="J167" t="s">
        <v>2256</v>
      </c>
      <c r="K167" t="s">
        <v>74</v>
      </c>
      <c r="L167" t="s">
        <v>74</v>
      </c>
      <c r="M167" t="s">
        <v>78</v>
      </c>
      <c r="N167" t="s">
        <v>775</v>
      </c>
      <c r="O167" t="s">
        <v>74</v>
      </c>
      <c r="P167" t="s">
        <v>74</v>
      </c>
      <c r="Q167" t="s">
        <v>74</v>
      </c>
      <c r="R167" t="s">
        <v>74</v>
      </c>
      <c r="S167" t="s">
        <v>74</v>
      </c>
      <c r="T167" t="s">
        <v>2257</v>
      </c>
      <c r="U167" t="s">
        <v>2258</v>
      </c>
      <c r="V167" t="s">
        <v>2259</v>
      </c>
      <c r="W167" t="s">
        <v>2260</v>
      </c>
      <c r="X167" t="s">
        <v>2261</v>
      </c>
      <c r="Y167" t="s">
        <v>2262</v>
      </c>
      <c r="Z167" t="s">
        <v>2263</v>
      </c>
      <c r="AA167" t="s">
        <v>2264</v>
      </c>
      <c r="AB167" t="s">
        <v>2265</v>
      </c>
      <c r="AC167" t="s">
        <v>74</v>
      </c>
      <c r="AD167" t="s">
        <v>74</v>
      </c>
      <c r="AE167" t="s">
        <v>74</v>
      </c>
      <c r="AF167" t="s">
        <v>74</v>
      </c>
      <c r="AG167">
        <v>30</v>
      </c>
      <c r="AH167">
        <v>39</v>
      </c>
      <c r="AI167">
        <v>42</v>
      </c>
      <c r="AJ167">
        <v>1</v>
      </c>
      <c r="AK167">
        <v>18</v>
      </c>
      <c r="AL167" t="s">
        <v>2266</v>
      </c>
      <c r="AM167" t="s">
        <v>2267</v>
      </c>
      <c r="AN167" t="s">
        <v>2268</v>
      </c>
      <c r="AO167" t="s">
        <v>2269</v>
      </c>
      <c r="AP167" t="s">
        <v>2270</v>
      </c>
      <c r="AQ167" t="s">
        <v>74</v>
      </c>
      <c r="AR167" t="s">
        <v>2271</v>
      </c>
      <c r="AS167" t="s">
        <v>2272</v>
      </c>
      <c r="AT167" t="s">
        <v>790</v>
      </c>
      <c r="AU167">
        <v>2003</v>
      </c>
      <c r="AV167">
        <v>20</v>
      </c>
      <c r="AW167">
        <v>1</v>
      </c>
      <c r="AX167" t="s">
        <v>74</v>
      </c>
      <c r="AY167" t="s">
        <v>74</v>
      </c>
      <c r="AZ167" t="s">
        <v>74</v>
      </c>
      <c r="BA167" t="s">
        <v>74</v>
      </c>
      <c r="BB167">
        <v>15</v>
      </c>
      <c r="BC167">
        <v>24</v>
      </c>
      <c r="BD167" t="s">
        <v>74</v>
      </c>
      <c r="BE167" t="s">
        <v>2273</v>
      </c>
      <c r="BF167" t="str">
        <f>HYPERLINK("http://dx.doi.org/10.1080/01490450303890","http://dx.doi.org/10.1080/01490450303890")</f>
        <v>http://dx.doi.org/10.1080/01490450303890</v>
      </c>
      <c r="BG167" t="s">
        <v>74</v>
      </c>
      <c r="BH167" t="s">
        <v>74</v>
      </c>
      <c r="BI167">
        <v>10</v>
      </c>
      <c r="BJ167" t="s">
        <v>2274</v>
      </c>
      <c r="BK167" t="s">
        <v>569</v>
      </c>
      <c r="BL167" t="s">
        <v>2275</v>
      </c>
      <c r="BM167" t="s">
        <v>2276</v>
      </c>
      <c r="BN167" t="s">
        <v>74</v>
      </c>
      <c r="BO167" t="s">
        <v>74</v>
      </c>
      <c r="BP167" t="s">
        <v>74</v>
      </c>
      <c r="BQ167" t="s">
        <v>74</v>
      </c>
      <c r="BR167" t="s">
        <v>98</v>
      </c>
      <c r="BS167" t="s">
        <v>2277</v>
      </c>
      <c r="BT167" t="str">
        <f>HYPERLINK("https%3A%2F%2Fwww.webofscience.com%2Fwos%2Fwoscc%2Ffull-record%2FWOS:000181964500002","View Full Record in Web of Science")</f>
        <v>View Full Record in Web of Science</v>
      </c>
    </row>
    <row r="168" spans="1:72" x14ac:dyDescent="0.15">
      <c r="A168" t="s">
        <v>552</v>
      </c>
      <c r="B168" t="s">
        <v>2278</v>
      </c>
      <c r="C168" t="s">
        <v>74</v>
      </c>
      <c r="D168" t="s">
        <v>74</v>
      </c>
      <c r="E168" t="s">
        <v>74</v>
      </c>
      <c r="F168" t="s">
        <v>2278</v>
      </c>
      <c r="G168" t="s">
        <v>74</v>
      </c>
      <c r="H168" t="s">
        <v>74</v>
      </c>
      <c r="I168" t="s">
        <v>2279</v>
      </c>
      <c r="J168" t="s">
        <v>2280</v>
      </c>
      <c r="K168" t="s">
        <v>74</v>
      </c>
      <c r="L168" t="s">
        <v>74</v>
      </c>
      <c r="M168" t="s">
        <v>78</v>
      </c>
      <c r="N168" t="s">
        <v>775</v>
      </c>
      <c r="O168" t="s">
        <v>74</v>
      </c>
      <c r="P168" t="s">
        <v>74</v>
      </c>
      <c r="Q168" t="s">
        <v>74</v>
      </c>
      <c r="R168" t="s">
        <v>74</v>
      </c>
      <c r="S168" t="s">
        <v>74</v>
      </c>
      <c r="T168" t="s">
        <v>2281</v>
      </c>
      <c r="U168" t="s">
        <v>2282</v>
      </c>
      <c r="V168" t="s">
        <v>2283</v>
      </c>
      <c r="W168" t="s">
        <v>2284</v>
      </c>
      <c r="X168" t="s">
        <v>2285</v>
      </c>
      <c r="Y168" t="s">
        <v>2286</v>
      </c>
      <c r="Z168" t="s">
        <v>2287</v>
      </c>
      <c r="AA168" t="s">
        <v>74</v>
      </c>
      <c r="AB168" t="s">
        <v>74</v>
      </c>
      <c r="AC168" t="s">
        <v>74</v>
      </c>
      <c r="AD168" t="s">
        <v>74</v>
      </c>
      <c r="AE168" t="s">
        <v>74</v>
      </c>
      <c r="AF168" t="s">
        <v>74</v>
      </c>
      <c r="AG168">
        <v>68</v>
      </c>
      <c r="AH168">
        <v>20</v>
      </c>
      <c r="AI168">
        <v>22</v>
      </c>
      <c r="AJ168">
        <v>0</v>
      </c>
      <c r="AK168">
        <v>4</v>
      </c>
      <c r="AL168" t="s">
        <v>942</v>
      </c>
      <c r="AM168" t="s">
        <v>807</v>
      </c>
      <c r="AN168" t="s">
        <v>943</v>
      </c>
      <c r="AO168" t="s">
        <v>2288</v>
      </c>
      <c r="AP168" t="s">
        <v>2289</v>
      </c>
      <c r="AQ168" t="s">
        <v>74</v>
      </c>
      <c r="AR168" t="s">
        <v>2290</v>
      </c>
      <c r="AS168" t="s">
        <v>2291</v>
      </c>
      <c r="AT168" t="s">
        <v>566</v>
      </c>
      <c r="AU168">
        <v>2003</v>
      </c>
      <c r="AV168">
        <v>152</v>
      </c>
      <c r="AW168">
        <v>1</v>
      </c>
      <c r="AX168" t="s">
        <v>74</v>
      </c>
      <c r="AY168" t="s">
        <v>74</v>
      </c>
      <c r="AZ168" t="s">
        <v>74</v>
      </c>
      <c r="BA168" t="s">
        <v>74</v>
      </c>
      <c r="BB168">
        <v>124</v>
      </c>
      <c r="BC168">
        <v>138</v>
      </c>
      <c r="BD168" t="s">
        <v>74</v>
      </c>
      <c r="BE168" t="s">
        <v>2292</v>
      </c>
      <c r="BF168" t="str">
        <f>HYPERLINK("http://dx.doi.org/10.1046/j.1365-246X.2003.01831.x","http://dx.doi.org/10.1046/j.1365-246X.2003.01831.x")</f>
        <v>http://dx.doi.org/10.1046/j.1365-246X.2003.01831.x</v>
      </c>
      <c r="BG168" t="s">
        <v>74</v>
      </c>
      <c r="BH168" t="s">
        <v>74</v>
      </c>
      <c r="BI168">
        <v>15</v>
      </c>
      <c r="BJ168" t="s">
        <v>2068</v>
      </c>
      <c r="BK168" t="s">
        <v>569</v>
      </c>
      <c r="BL168" t="s">
        <v>2068</v>
      </c>
      <c r="BM168" t="s">
        <v>2293</v>
      </c>
      <c r="BN168" t="s">
        <v>74</v>
      </c>
      <c r="BO168" t="s">
        <v>572</v>
      </c>
      <c r="BP168" t="s">
        <v>74</v>
      </c>
      <c r="BQ168" t="s">
        <v>74</v>
      </c>
      <c r="BR168" t="s">
        <v>98</v>
      </c>
      <c r="BS168" t="s">
        <v>2294</v>
      </c>
      <c r="BT168" t="str">
        <f>HYPERLINK("https%3A%2F%2Fwww.webofscience.com%2Fwos%2Fwoscc%2Ffull-record%2FWOS:000179750600009","View Full Record in Web of Science")</f>
        <v>View Full Record in Web of Science</v>
      </c>
    </row>
    <row r="169" spans="1:72" x14ac:dyDescent="0.15">
      <c r="A169" t="s">
        <v>72</v>
      </c>
      <c r="B169" t="s">
        <v>2295</v>
      </c>
      <c r="C169" t="s">
        <v>74</v>
      </c>
      <c r="D169" t="s">
        <v>2296</v>
      </c>
      <c r="E169" t="s">
        <v>74</v>
      </c>
      <c r="F169" t="s">
        <v>2295</v>
      </c>
      <c r="G169" t="s">
        <v>74</v>
      </c>
      <c r="H169" t="s">
        <v>74</v>
      </c>
      <c r="I169" t="s">
        <v>2297</v>
      </c>
      <c r="J169" t="s">
        <v>2298</v>
      </c>
      <c r="K169" t="s">
        <v>74</v>
      </c>
      <c r="L169" t="s">
        <v>74</v>
      </c>
      <c r="M169" t="s">
        <v>78</v>
      </c>
      <c r="N169" t="s">
        <v>79</v>
      </c>
      <c r="O169" t="s">
        <v>2299</v>
      </c>
      <c r="P169" t="s">
        <v>2300</v>
      </c>
      <c r="Q169" t="s">
        <v>2301</v>
      </c>
      <c r="R169" t="s">
        <v>74</v>
      </c>
      <c r="S169" t="s">
        <v>74</v>
      </c>
      <c r="T169" t="s">
        <v>74</v>
      </c>
      <c r="U169" t="s">
        <v>2302</v>
      </c>
      <c r="V169" t="s">
        <v>2303</v>
      </c>
      <c r="W169" t="s">
        <v>2304</v>
      </c>
      <c r="X169" t="s">
        <v>514</v>
      </c>
      <c r="Y169" t="s">
        <v>74</v>
      </c>
      <c r="Z169" t="s">
        <v>2305</v>
      </c>
      <c r="AA169" t="s">
        <v>2306</v>
      </c>
      <c r="AB169" t="s">
        <v>74</v>
      </c>
      <c r="AC169" t="s">
        <v>74</v>
      </c>
      <c r="AD169" t="s">
        <v>74</v>
      </c>
      <c r="AE169" t="s">
        <v>74</v>
      </c>
      <c r="AF169" t="s">
        <v>74</v>
      </c>
      <c r="AG169">
        <v>100</v>
      </c>
      <c r="AH169">
        <v>8</v>
      </c>
      <c r="AI169">
        <v>8</v>
      </c>
      <c r="AJ169">
        <v>0</v>
      </c>
      <c r="AK169">
        <v>3</v>
      </c>
      <c r="AL169" t="s">
        <v>922</v>
      </c>
      <c r="AM169" t="s">
        <v>923</v>
      </c>
      <c r="AN169" t="s">
        <v>924</v>
      </c>
      <c r="AO169" t="s">
        <v>74</v>
      </c>
      <c r="AP169" t="s">
        <v>74</v>
      </c>
      <c r="AQ169" t="s">
        <v>2307</v>
      </c>
      <c r="AR169" t="s">
        <v>74</v>
      </c>
      <c r="AS169" t="s">
        <v>74</v>
      </c>
      <c r="AT169" t="s">
        <v>74</v>
      </c>
      <c r="AU169">
        <v>2003</v>
      </c>
      <c r="AV169" t="s">
        <v>74</v>
      </c>
      <c r="AW169" t="s">
        <v>74</v>
      </c>
      <c r="AX169" t="s">
        <v>74</v>
      </c>
      <c r="AY169" t="s">
        <v>74</v>
      </c>
      <c r="AZ169" t="s">
        <v>74</v>
      </c>
      <c r="BA169" t="s">
        <v>74</v>
      </c>
      <c r="BB169">
        <v>237</v>
      </c>
      <c r="BC169">
        <v>274</v>
      </c>
      <c r="BD169" t="s">
        <v>74</v>
      </c>
      <c r="BE169" t="s">
        <v>74</v>
      </c>
      <c r="BF169" t="s">
        <v>74</v>
      </c>
      <c r="BG169" t="s">
        <v>74</v>
      </c>
      <c r="BH169" t="s">
        <v>74</v>
      </c>
      <c r="BI169">
        <v>38</v>
      </c>
      <c r="BJ169" t="s">
        <v>815</v>
      </c>
      <c r="BK169" t="s">
        <v>95</v>
      </c>
      <c r="BL169" t="s">
        <v>96</v>
      </c>
      <c r="BM169" t="s">
        <v>2308</v>
      </c>
      <c r="BN169" t="s">
        <v>74</v>
      </c>
      <c r="BO169" t="s">
        <v>74</v>
      </c>
      <c r="BP169" t="s">
        <v>74</v>
      </c>
      <c r="BQ169" t="s">
        <v>74</v>
      </c>
      <c r="BR169" t="s">
        <v>98</v>
      </c>
      <c r="BS169" t="s">
        <v>2309</v>
      </c>
      <c r="BT169" t="str">
        <f>HYPERLINK("https%3A%2F%2Fwww.webofscience.com%2Fwos%2Fwoscc%2Ffull-record%2FWOS:000180553000011","View Full Record in Web of Science")</f>
        <v>View Full Record in Web of Science</v>
      </c>
    </row>
    <row r="170" spans="1:72" x14ac:dyDescent="0.15">
      <c r="A170" t="s">
        <v>552</v>
      </c>
      <c r="B170" t="s">
        <v>2310</v>
      </c>
      <c r="C170" t="s">
        <v>74</v>
      </c>
      <c r="D170" t="s">
        <v>74</v>
      </c>
      <c r="E170" t="s">
        <v>74</v>
      </c>
      <c r="F170" t="s">
        <v>2310</v>
      </c>
      <c r="G170" t="s">
        <v>74</v>
      </c>
      <c r="H170" t="s">
        <v>74</v>
      </c>
      <c r="I170" t="s">
        <v>2311</v>
      </c>
      <c r="J170" t="s">
        <v>2312</v>
      </c>
      <c r="K170" t="s">
        <v>74</v>
      </c>
      <c r="L170" t="s">
        <v>74</v>
      </c>
      <c r="M170" t="s">
        <v>78</v>
      </c>
      <c r="N170" t="s">
        <v>775</v>
      </c>
      <c r="O170" t="s">
        <v>74</v>
      </c>
      <c r="P170" t="s">
        <v>74</v>
      </c>
      <c r="Q170" t="s">
        <v>74</v>
      </c>
      <c r="R170" t="s">
        <v>74</v>
      </c>
      <c r="S170" t="s">
        <v>74</v>
      </c>
      <c r="T170" t="s">
        <v>74</v>
      </c>
      <c r="U170" t="s">
        <v>2313</v>
      </c>
      <c r="V170" t="s">
        <v>2314</v>
      </c>
      <c r="W170" t="s">
        <v>2315</v>
      </c>
      <c r="X170" t="s">
        <v>2316</v>
      </c>
      <c r="Y170" t="s">
        <v>2317</v>
      </c>
      <c r="Z170" t="s">
        <v>2318</v>
      </c>
      <c r="AA170" t="s">
        <v>74</v>
      </c>
      <c r="AB170" t="s">
        <v>74</v>
      </c>
      <c r="AC170" t="s">
        <v>74</v>
      </c>
      <c r="AD170" t="s">
        <v>74</v>
      </c>
      <c r="AE170" t="s">
        <v>74</v>
      </c>
      <c r="AF170" t="s">
        <v>74</v>
      </c>
      <c r="AG170">
        <v>22</v>
      </c>
      <c r="AH170">
        <v>6</v>
      </c>
      <c r="AI170">
        <v>8</v>
      </c>
      <c r="AJ170">
        <v>0</v>
      </c>
      <c r="AK170">
        <v>3</v>
      </c>
      <c r="AL170" t="s">
        <v>2319</v>
      </c>
      <c r="AM170" t="s">
        <v>2320</v>
      </c>
      <c r="AN170" t="s">
        <v>2321</v>
      </c>
      <c r="AO170" t="s">
        <v>2322</v>
      </c>
      <c r="AP170" t="s">
        <v>2323</v>
      </c>
      <c r="AQ170" t="s">
        <v>74</v>
      </c>
      <c r="AR170" t="s">
        <v>2312</v>
      </c>
      <c r="AS170" t="s">
        <v>2324</v>
      </c>
      <c r="AT170" t="s">
        <v>74</v>
      </c>
      <c r="AU170">
        <v>2003</v>
      </c>
      <c r="AV170">
        <v>42</v>
      </c>
      <c r="AW170">
        <v>2</v>
      </c>
      <c r="AX170" t="s">
        <v>74</v>
      </c>
      <c r="AY170" t="s">
        <v>74</v>
      </c>
      <c r="AZ170" t="s">
        <v>74</v>
      </c>
      <c r="BA170" t="s">
        <v>74</v>
      </c>
      <c r="BB170">
        <v>108</v>
      </c>
      <c r="BC170">
        <v>111</v>
      </c>
      <c r="BD170" t="s">
        <v>74</v>
      </c>
      <c r="BE170" t="s">
        <v>2325</v>
      </c>
      <c r="BF170" t="str">
        <f>HYPERLINK("http://dx.doi.org/10.1080/00173130310012495","http://dx.doi.org/10.1080/00173130310012495")</f>
        <v>http://dx.doi.org/10.1080/00173130310012495</v>
      </c>
      <c r="BG170" t="s">
        <v>74</v>
      </c>
      <c r="BH170" t="s">
        <v>74</v>
      </c>
      <c r="BI170">
        <v>4</v>
      </c>
      <c r="BJ170" t="s">
        <v>2326</v>
      </c>
      <c r="BK170" t="s">
        <v>569</v>
      </c>
      <c r="BL170" t="s">
        <v>2326</v>
      </c>
      <c r="BM170" t="s">
        <v>2327</v>
      </c>
      <c r="BN170" t="s">
        <v>74</v>
      </c>
      <c r="BO170" t="s">
        <v>74</v>
      </c>
      <c r="BP170" t="s">
        <v>74</v>
      </c>
      <c r="BQ170" t="s">
        <v>74</v>
      </c>
      <c r="BR170" t="s">
        <v>98</v>
      </c>
      <c r="BS170" t="s">
        <v>2328</v>
      </c>
      <c r="BT170" t="str">
        <f>HYPERLINK("https%3A%2F%2Fwww.webofscience.com%2Fwos%2Fwoscc%2Ffull-record%2FWOS:000184144800007","View Full Record in Web of Science")</f>
        <v>View Full Record in Web of Science</v>
      </c>
    </row>
    <row r="171" spans="1:72" x14ac:dyDescent="0.15">
      <c r="A171" t="s">
        <v>552</v>
      </c>
      <c r="B171" t="s">
        <v>2329</v>
      </c>
      <c r="C171" t="s">
        <v>74</v>
      </c>
      <c r="D171" t="s">
        <v>74</v>
      </c>
      <c r="E171" t="s">
        <v>74</v>
      </c>
      <c r="F171" t="s">
        <v>2329</v>
      </c>
      <c r="G171" t="s">
        <v>74</v>
      </c>
      <c r="H171" t="s">
        <v>74</v>
      </c>
      <c r="I171" t="s">
        <v>2330</v>
      </c>
      <c r="J171" t="s">
        <v>2331</v>
      </c>
      <c r="K171" t="s">
        <v>74</v>
      </c>
      <c r="L171" t="s">
        <v>74</v>
      </c>
      <c r="M171" t="s">
        <v>78</v>
      </c>
      <c r="N171" t="s">
        <v>775</v>
      </c>
      <c r="O171" t="s">
        <v>74</v>
      </c>
      <c r="P171" t="s">
        <v>74</v>
      </c>
      <c r="Q171" t="s">
        <v>74</v>
      </c>
      <c r="R171" t="s">
        <v>74</v>
      </c>
      <c r="S171" t="s">
        <v>74</v>
      </c>
      <c r="T171" t="s">
        <v>2332</v>
      </c>
      <c r="U171" t="s">
        <v>2333</v>
      </c>
      <c r="V171" t="s">
        <v>2334</v>
      </c>
      <c r="W171" t="s">
        <v>2335</v>
      </c>
      <c r="X171" t="s">
        <v>2336</v>
      </c>
      <c r="Y171" t="s">
        <v>2337</v>
      </c>
      <c r="Z171" t="s">
        <v>2338</v>
      </c>
      <c r="AA171" t="s">
        <v>74</v>
      </c>
      <c r="AB171" t="s">
        <v>2339</v>
      </c>
      <c r="AC171" t="s">
        <v>2340</v>
      </c>
      <c r="AD171" t="s">
        <v>2341</v>
      </c>
      <c r="AE171" t="s">
        <v>74</v>
      </c>
      <c r="AF171" t="s">
        <v>74</v>
      </c>
      <c r="AG171">
        <v>83</v>
      </c>
      <c r="AH171">
        <v>26</v>
      </c>
      <c r="AI171">
        <v>27</v>
      </c>
      <c r="AJ171">
        <v>3</v>
      </c>
      <c r="AK171">
        <v>21</v>
      </c>
      <c r="AL171" t="s">
        <v>2342</v>
      </c>
      <c r="AM171" t="s">
        <v>2113</v>
      </c>
      <c r="AN171" t="s">
        <v>2343</v>
      </c>
      <c r="AO171" t="s">
        <v>2344</v>
      </c>
      <c r="AP171" t="s">
        <v>2345</v>
      </c>
      <c r="AQ171" t="s">
        <v>74</v>
      </c>
      <c r="AR171" t="s">
        <v>2331</v>
      </c>
      <c r="AS171" t="s">
        <v>2346</v>
      </c>
      <c r="AT171" t="s">
        <v>74</v>
      </c>
      <c r="AU171">
        <v>2003</v>
      </c>
      <c r="AV171">
        <v>13</v>
      </c>
      <c r="AW171">
        <v>2</v>
      </c>
      <c r="AX171" t="s">
        <v>74</v>
      </c>
      <c r="AY171" t="s">
        <v>74</v>
      </c>
      <c r="AZ171" t="s">
        <v>74</v>
      </c>
      <c r="BA171" t="s">
        <v>74</v>
      </c>
      <c r="BB171">
        <v>251</v>
      </c>
      <c r="BC171">
        <v>263</v>
      </c>
      <c r="BD171" t="s">
        <v>74</v>
      </c>
      <c r="BE171" t="s">
        <v>2347</v>
      </c>
      <c r="BF171" t="str">
        <f>HYPERLINK("http://dx.doi.org/10.1191/0959683603hl611rp","http://dx.doi.org/10.1191/0959683603hl611rp")</f>
        <v>http://dx.doi.org/10.1191/0959683603hl611rp</v>
      </c>
      <c r="BG171" t="s">
        <v>74</v>
      </c>
      <c r="BH171" t="s">
        <v>74</v>
      </c>
      <c r="BI171">
        <v>13</v>
      </c>
      <c r="BJ171" t="s">
        <v>2348</v>
      </c>
      <c r="BK171" t="s">
        <v>569</v>
      </c>
      <c r="BL171" t="s">
        <v>2349</v>
      </c>
      <c r="BM171" t="s">
        <v>2350</v>
      </c>
      <c r="BN171" t="s">
        <v>74</v>
      </c>
      <c r="BO171" t="s">
        <v>74</v>
      </c>
      <c r="BP171" t="s">
        <v>74</v>
      </c>
      <c r="BQ171" t="s">
        <v>74</v>
      </c>
      <c r="BR171" t="s">
        <v>98</v>
      </c>
      <c r="BS171" t="s">
        <v>2351</v>
      </c>
      <c r="BT171" t="str">
        <f>HYPERLINK("https%3A%2F%2Fwww.webofscience.com%2Fwos%2Fwoscc%2Ffull-record%2FWOS:000181279000009","View Full Record in Web of Science")</f>
        <v>View Full Record in Web of Science</v>
      </c>
    </row>
    <row r="172" spans="1:72" x14ac:dyDescent="0.15">
      <c r="A172" t="s">
        <v>72</v>
      </c>
      <c r="B172" t="s">
        <v>2352</v>
      </c>
      <c r="C172" t="s">
        <v>74</v>
      </c>
      <c r="D172" t="s">
        <v>74</v>
      </c>
      <c r="E172" t="s">
        <v>2353</v>
      </c>
      <c r="F172" t="s">
        <v>2352</v>
      </c>
      <c r="G172" t="s">
        <v>74</v>
      </c>
      <c r="H172" t="s">
        <v>74</v>
      </c>
      <c r="I172" t="s">
        <v>2354</v>
      </c>
      <c r="J172" t="s">
        <v>2355</v>
      </c>
      <c r="K172" t="s">
        <v>2356</v>
      </c>
      <c r="L172" t="s">
        <v>74</v>
      </c>
      <c r="M172" t="s">
        <v>78</v>
      </c>
      <c r="N172" t="s">
        <v>79</v>
      </c>
      <c r="O172" t="s">
        <v>2357</v>
      </c>
      <c r="P172" t="s">
        <v>2358</v>
      </c>
      <c r="Q172" t="s">
        <v>2359</v>
      </c>
      <c r="R172" t="s">
        <v>74</v>
      </c>
      <c r="S172" t="s">
        <v>74</v>
      </c>
      <c r="T172" t="s">
        <v>74</v>
      </c>
      <c r="U172" t="s">
        <v>2360</v>
      </c>
      <c r="V172" t="s">
        <v>2361</v>
      </c>
      <c r="W172" t="s">
        <v>2362</v>
      </c>
      <c r="X172" t="s">
        <v>2363</v>
      </c>
      <c r="Y172" t="s">
        <v>2364</v>
      </c>
      <c r="Z172" t="s">
        <v>74</v>
      </c>
      <c r="AA172" t="s">
        <v>2365</v>
      </c>
      <c r="AB172" t="s">
        <v>2366</v>
      </c>
      <c r="AC172" t="s">
        <v>74</v>
      </c>
      <c r="AD172" t="s">
        <v>74</v>
      </c>
      <c r="AE172" t="s">
        <v>74</v>
      </c>
      <c r="AF172" t="s">
        <v>74</v>
      </c>
      <c r="AG172">
        <v>10</v>
      </c>
      <c r="AH172">
        <v>1</v>
      </c>
      <c r="AI172">
        <v>2</v>
      </c>
      <c r="AJ172">
        <v>0</v>
      </c>
      <c r="AK172">
        <v>3</v>
      </c>
      <c r="AL172" t="s">
        <v>2367</v>
      </c>
      <c r="AM172" t="s">
        <v>561</v>
      </c>
      <c r="AN172" t="s">
        <v>2368</v>
      </c>
      <c r="AO172" t="s">
        <v>74</v>
      </c>
      <c r="AP172" t="s">
        <v>74</v>
      </c>
      <c r="AQ172" t="s">
        <v>2369</v>
      </c>
      <c r="AR172" t="s">
        <v>2370</v>
      </c>
      <c r="AS172" t="s">
        <v>74</v>
      </c>
      <c r="AT172" t="s">
        <v>74</v>
      </c>
      <c r="AU172">
        <v>2003</v>
      </c>
      <c r="AV172" t="s">
        <v>74</v>
      </c>
      <c r="AW172" t="s">
        <v>74</v>
      </c>
      <c r="AX172" t="s">
        <v>74</v>
      </c>
      <c r="AY172" t="s">
        <v>74</v>
      </c>
      <c r="AZ172" t="s">
        <v>74</v>
      </c>
      <c r="BA172" t="s">
        <v>74</v>
      </c>
      <c r="BB172">
        <v>1526</v>
      </c>
      <c r="BC172">
        <v>1530</v>
      </c>
      <c r="BD172" t="s">
        <v>74</v>
      </c>
      <c r="BE172" t="s">
        <v>74</v>
      </c>
      <c r="BF172" t="s">
        <v>74</v>
      </c>
      <c r="BG172" t="s">
        <v>74</v>
      </c>
      <c r="BH172" t="s">
        <v>74</v>
      </c>
      <c r="BI172">
        <v>5</v>
      </c>
      <c r="BJ172" t="s">
        <v>2371</v>
      </c>
      <c r="BK172" t="s">
        <v>95</v>
      </c>
      <c r="BL172" t="s">
        <v>2372</v>
      </c>
      <c r="BM172" t="s">
        <v>2373</v>
      </c>
      <c r="BN172" t="s">
        <v>74</v>
      </c>
      <c r="BO172" t="s">
        <v>74</v>
      </c>
      <c r="BP172" t="s">
        <v>74</v>
      </c>
      <c r="BQ172" t="s">
        <v>74</v>
      </c>
      <c r="BR172" t="s">
        <v>98</v>
      </c>
      <c r="BS172" t="s">
        <v>2374</v>
      </c>
      <c r="BT172" t="str">
        <f>HYPERLINK("https%3A%2F%2Fwww.webofscience.com%2Fwos%2Fwoscc%2Ffull-record%2FWOS:000187293500500","View Full Record in Web of Science")</f>
        <v>View Full Record in Web of Science</v>
      </c>
    </row>
    <row r="173" spans="1:72" x14ac:dyDescent="0.15">
      <c r="A173" t="s">
        <v>72</v>
      </c>
      <c r="B173" t="s">
        <v>2375</v>
      </c>
      <c r="C173" t="s">
        <v>74</v>
      </c>
      <c r="D173" t="s">
        <v>74</v>
      </c>
      <c r="E173" t="s">
        <v>2353</v>
      </c>
      <c r="F173" t="s">
        <v>2375</v>
      </c>
      <c r="G173" t="s">
        <v>74</v>
      </c>
      <c r="H173" t="s">
        <v>74</v>
      </c>
      <c r="I173" t="s">
        <v>2376</v>
      </c>
      <c r="J173" t="s">
        <v>2355</v>
      </c>
      <c r="K173" t="s">
        <v>2356</v>
      </c>
      <c r="L173" t="s">
        <v>74</v>
      </c>
      <c r="M173" t="s">
        <v>78</v>
      </c>
      <c r="N173" t="s">
        <v>79</v>
      </c>
      <c r="O173" t="s">
        <v>2357</v>
      </c>
      <c r="P173" t="s">
        <v>2358</v>
      </c>
      <c r="Q173" t="s">
        <v>2359</v>
      </c>
      <c r="R173" t="s">
        <v>74</v>
      </c>
      <c r="S173" t="s">
        <v>74</v>
      </c>
      <c r="T173" t="s">
        <v>74</v>
      </c>
      <c r="U173" t="s">
        <v>74</v>
      </c>
      <c r="V173" t="s">
        <v>2377</v>
      </c>
      <c r="W173" t="s">
        <v>2378</v>
      </c>
      <c r="X173" t="s">
        <v>2379</v>
      </c>
      <c r="Y173" t="s">
        <v>2380</v>
      </c>
      <c r="Z173" t="s">
        <v>74</v>
      </c>
      <c r="AA173" t="s">
        <v>74</v>
      </c>
      <c r="AB173" t="s">
        <v>74</v>
      </c>
      <c r="AC173" t="s">
        <v>74</v>
      </c>
      <c r="AD173" t="s">
        <v>74</v>
      </c>
      <c r="AE173" t="s">
        <v>74</v>
      </c>
      <c r="AF173" t="s">
        <v>74</v>
      </c>
      <c r="AG173">
        <v>5</v>
      </c>
      <c r="AH173">
        <v>1</v>
      </c>
      <c r="AI173">
        <v>1</v>
      </c>
      <c r="AJ173">
        <v>0</v>
      </c>
      <c r="AK173">
        <v>1</v>
      </c>
      <c r="AL173" t="s">
        <v>2367</v>
      </c>
      <c r="AM173" t="s">
        <v>561</v>
      </c>
      <c r="AN173" t="s">
        <v>2368</v>
      </c>
      <c r="AO173" t="s">
        <v>74</v>
      </c>
      <c r="AP173" t="s">
        <v>74</v>
      </c>
      <c r="AQ173" t="s">
        <v>2369</v>
      </c>
      <c r="AR173" t="s">
        <v>2370</v>
      </c>
      <c r="AS173" t="s">
        <v>74</v>
      </c>
      <c r="AT173" t="s">
        <v>74</v>
      </c>
      <c r="AU173">
        <v>2003</v>
      </c>
      <c r="AV173" t="s">
        <v>74</v>
      </c>
      <c r="AW173" t="s">
        <v>74</v>
      </c>
      <c r="AX173" t="s">
        <v>74</v>
      </c>
      <c r="AY173" t="s">
        <v>74</v>
      </c>
      <c r="AZ173" t="s">
        <v>74</v>
      </c>
      <c r="BA173" t="s">
        <v>74</v>
      </c>
      <c r="BB173">
        <v>2356</v>
      </c>
      <c r="BC173">
        <v>2358</v>
      </c>
      <c r="BD173" t="s">
        <v>74</v>
      </c>
      <c r="BE173" t="s">
        <v>74</v>
      </c>
      <c r="BF173" t="s">
        <v>74</v>
      </c>
      <c r="BG173" t="s">
        <v>74</v>
      </c>
      <c r="BH173" t="s">
        <v>74</v>
      </c>
      <c r="BI173">
        <v>3</v>
      </c>
      <c r="BJ173" t="s">
        <v>2371</v>
      </c>
      <c r="BK173" t="s">
        <v>95</v>
      </c>
      <c r="BL173" t="s">
        <v>2372</v>
      </c>
      <c r="BM173" t="s">
        <v>2373</v>
      </c>
      <c r="BN173" t="s">
        <v>74</v>
      </c>
      <c r="BO173" t="s">
        <v>74</v>
      </c>
      <c r="BP173" t="s">
        <v>74</v>
      </c>
      <c r="BQ173" t="s">
        <v>74</v>
      </c>
      <c r="BR173" t="s">
        <v>98</v>
      </c>
      <c r="BS173" t="s">
        <v>2381</v>
      </c>
      <c r="BT173" t="str">
        <f>HYPERLINK("https%3A%2F%2Fwww.webofscience.com%2Fwos%2Fwoscc%2Ffull-record%2FWOS:000187293500774","View Full Record in Web of Science")</f>
        <v>View Full Record in Web of Science</v>
      </c>
    </row>
    <row r="174" spans="1:72" x14ac:dyDescent="0.15">
      <c r="A174" t="s">
        <v>72</v>
      </c>
      <c r="B174" t="s">
        <v>2382</v>
      </c>
      <c r="C174" t="s">
        <v>74</v>
      </c>
      <c r="D174" t="s">
        <v>74</v>
      </c>
      <c r="E174" t="s">
        <v>2353</v>
      </c>
      <c r="F174" t="s">
        <v>2382</v>
      </c>
      <c r="G174" t="s">
        <v>74</v>
      </c>
      <c r="H174" t="s">
        <v>74</v>
      </c>
      <c r="I174" t="s">
        <v>2383</v>
      </c>
      <c r="J174" t="s">
        <v>2355</v>
      </c>
      <c r="K174" t="s">
        <v>2356</v>
      </c>
      <c r="L174" t="s">
        <v>74</v>
      </c>
      <c r="M174" t="s">
        <v>78</v>
      </c>
      <c r="N174" t="s">
        <v>79</v>
      </c>
      <c r="O174" t="s">
        <v>2357</v>
      </c>
      <c r="P174" t="s">
        <v>2358</v>
      </c>
      <c r="Q174" t="s">
        <v>2359</v>
      </c>
      <c r="R174" t="s">
        <v>74</v>
      </c>
      <c r="S174" t="s">
        <v>74</v>
      </c>
      <c r="T174" t="s">
        <v>74</v>
      </c>
      <c r="U174" t="s">
        <v>74</v>
      </c>
      <c r="V174" t="s">
        <v>2384</v>
      </c>
      <c r="W174" t="s">
        <v>2378</v>
      </c>
      <c r="X174" t="s">
        <v>2379</v>
      </c>
      <c r="Y174" t="s">
        <v>2385</v>
      </c>
      <c r="Z174" t="s">
        <v>74</v>
      </c>
      <c r="AA174" t="s">
        <v>74</v>
      </c>
      <c r="AB174" t="s">
        <v>74</v>
      </c>
      <c r="AC174" t="s">
        <v>74</v>
      </c>
      <c r="AD174" t="s">
        <v>74</v>
      </c>
      <c r="AE174" t="s">
        <v>74</v>
      </c>
      <c r="AF174" t="s">
        <v>74</v>
      </c>
      <c r="AG174">
        <v>5</v>
      </c>
      <c r="AH174">
        <v>9</v>
      </c>
      <c r="AI174">
        <v>9</v>
      </c>
      <c r="AJ174">
        <v>0</v>
      </c>
      <c r="AK174">
        <v>0</v>
      </c>
      <c r="AL174" t="s">
        <v>2367</v>
      </c>
      <c r="AM174" t="s">
        <v>561</v>
      </c>
      <c r="AN174" t="s">
        <v>2368</v>
      </c>
      <c r="AO174" t="s">
        <v>74</v>
      </c>
      <c r="AP174" t="s">
        <v>74</v>
      </c>
      <c r="AQ174" t="s">
        <v>2369</v>
      </c>
      <c r="AR174" t="s">
        <v>2370</v>
      </c>
      <c r="AS174" t="s">
        <v>74</v>
      </c>
      <c r="AT174" t="s">
        <v>74</v>
      </c>
      <c r="AU174">
        <v>2003</v>
      </c>
      <c r="AV174" t="s">
        <v>74</v>
      </c>
      <c r="AW174" t="s">
        <v>74</v>
      </c>
      <c r="AX174" t="s">
        <v>74</v>
      </c>
      <c r="AY174" t="s">
        <v>74</v>
      </c>
      <c r="AZ174" t="s">
        <v>74</v>
      </c>
      <c r="BA174" t="s">
        <v>74</v>
      </c>
      <c r="BB174">
        <v>2599</v>
      </c>
      <c r="BC174">
        <v>2601</v>
      </c>
      <c r="BD174" t="s">
        <v>74</v>
      </c>
      <c r="BE174" t="s">
        <v>74</v>
      </c>
      <c r="BF174" t="s">
        <v>74</v>
      </c>
      <c r="BG174" t="s">
        <v>74</v>
      </c>
      <c r="BH174" t="s">
        <v>74</v>
      </c>
      <c r="BI174">
        <v>3</v>
      </c>
      <c r="BJ174" t="s">
        <v>2371</v>
      </c>
      <c r="BK174" t="s">
        <v>95</v>
      </c>
      <c r="BL174" t="s">
        <v>2372</v>
      </c>
      <c r="BM174" t="s">
        <v>2373</v>
      </c>
      <c r="BN174" t="s">
        <v>74</v>
      </c>
      <c r="BO174" t="s">
        <v>74</v>
      </c>
      <c r="BP174" t="s">
        <v>74</v>
      </c>
      <c r="BQ174" t="s">
        <v>74</v>
      </c>
      <c r="BR174" t="s">
        <v>98</v>
      </c>
      <c r="BS174" t="s">
        <v>2386</v>
      </c>
      <c r="BT174" t="str">
        <f>HYPERLINK("https%3A%2F%2Fwww.webofscience.com%2Fwos%2Fwoscc%2Ffull-record%2FWOS:000187293500853","View Full Record in Web of Science")</f>
        <v>View Full Record in Web of Science</v>
      </c>
    </row>
    <row r="175" spans="1:72" x14ac:dyDescent="0.15">
      <c r="A175" t="s">
        <v>72</v>
      </c>
      <c r="B175" t="s">
        <v>2387</v>
      </c>
      <c r="C175" t="s">
        <v>74</v>
      </c>
      <c r="D175" t="s">
        <v>74</v>
      </c>
      <c r="E175" t="s">
        <v>2353</v>
      </c>
      <c r="F175" t="s">
        <v>2387</v>
      </c>
      <c r="G175" t="s">
        <v>74</v>
      </c>
      <c r="H175" t="s">
        <v>74</v>
      </c>
      <c r="I175" t="s">
        <v>2388</v>
      </c>
      <c r="J175" t="s">
        <v>2355</v>
      </c>
      <c r="K175" t="s">
        <v>2356</v>
      </c>
      <c r="L175" t="s">
        <v>74</v>
      </c>
      <c r="M175" t="s">
        <v>78</v>
      </c>
      <c r="N175" t="s">
        <v>79</v>
      </c>
      <c r="O175" t="s">
        <v>2357</v>
      </c>
      <c r="P175" t="s">
        <v>2358</v>
      </c>
      <c r="Q175" t="s">
        <v>2359</v>
      </c>
      <c r="R175" t="s">
        <v>74</v>
      </c>
      <c r="S175" t="s">
        <v>74</v>
      </c>
      <c r="T175" t="s">
        <v>2389</v>
      </c>
      <c r="U175" t="s">
        <v>74</v>
      </c>
      <c r="V175" t="s">
        <v>2390</v>
      </c>
      <c r="W175" t="s">
        <v>2391</v>
      </c>
      <c r="X175" t="s">
        <v>2392</v>
      </c>
      <c r="Y175" t="s">
        <v>2393</v>
      </c>
      <c r="Z175" t="s">
        <v>74</v>
      </c>
      <c r="AA175" t="s">
        <v>2394</v>
      </c>
      <c r="AB175" t="s">
        <v>74</v>
      </c>
      <c r="AC175" t="s">
        <v>74</v>
      </c>
      <c r="AD175" t="s">
        <v>74</v>
      </c>
      <c r="AE175" t="s">
        <v>74</v>
      </c>
      <c r="AF175" t="s">
        <v>74</v>
      </c>
      <c r="AG175">
        <v>3</v>
      </c>
      <c r="AH175">
        <v>7</v>
      </c>
      <c r="AI175">
        <v>8</v>
      </c>
      <c r="AJ175">
        <v>0</v>
      </c>
      <c r="AK175">
        <v>2</v>
      </c>
      <c r="AL175" t="s">
        <v>2367</v>
      </c>
      <c r="AM175" t="s">
        <v>561</v>
      </c>
      <c r="AN175" t="s">
        <v>2368</v>
      </c>
      <c r="AO175" t="s">
        <v>74</v>
      </c>
      <c r="AP175" t="s">
        <v>74</v>
      </c>
      <c r="AQ175" t="s">
        <v>2369</v>
      </c>
      <c r="AR175" t="s">
        <v>2370</v>
      </c>
      <c r="AS175" t="s">
        <v>74</v>
      </c>
      <c r="AT175" t="s">
        <v>74</v>
      </c>
      <c r="AU175">
        <v>2003</v>
      </c>
      <c r="AV175" t="s">
        <v>74</v>
      </c>
      <c r="AW175" t="s">
        <v>74</v>
      </c>
      <c r="AX175" t="s">
        <v>74</v>
      </c>
      <c r="AY175" t="s">
        <v>74</v>
      </c>
      <c r="AZ175" t="s">
        <v>74</v>
      </c>
      <c r="BA175" t="s">
        <v>74</v>
      </c>
      <c r="BB175">
        <v>2802</v>
      </c>
      <c r="BC175">
        <v>2804</v>
      </c>
      <c r="BD175" t="s">
        <v>74</v>
      </c>
      <c r="BE175" t="s">
        <v>74</v>
      </c>
      <c r="BF175" t="s">
        <v>74</v>
      </c>
      <c r="BG175" t="s">
        <v>74</v>
      </c>
      <c r="BH175" t="s">
        <v>74</v>
      </c>
      <c r="BI175">
        <v>3</v>
      </c>
      <c r="BJ175" t="s">
        <v>2371</v>
      </c>
      <c r="BK175" t="s">
        <v>95</v>
      </c>
      <c r="BL175" t="s">
        <v>2372</v>
      </c>
      <c r="BM175" t="s">
        <v>2373</v>
      </c>
      <c r="BN175" t="s">
        <v>74</v>
      </c>
      <c r="BO175" t="s">
        <v>74</v>
      </c>
      <c r="BP175" t="s">
        <v>74</v>
      </c>
      <c r="BQ175" t="s">
        <v>74</v>
      </c>
      <c r="BR175" t="s">
        <v>98</v>
      </c>
      <c r="BS175" t="s">
        <v>2395</v>
      </c>
      <c r="BT175" t="str">
        <f>HYPERLINK("https%3A%2F%2Fwww.webofscience.com%2Fwos%2Fwoscc%2Ffull-record%2FWOS:000187293500922","View Full Record in Web of Science")</f>
        <v>View Full Record in Web of Science</v>
      </c>
    </row>
    <row r="176" spans="1:72" x14ac:dyDescent="0.15">
      <c r="A176" t="s">
        <v>72</v>
      </c>
      <c r="B176" t="s">
        <v>2396</v>
      </c>
      <c r="C176" t="s">
        <v>74</v>
      </c>
      <c r="D176" t="s">
        <v>74</v>
      </c>
      <c r="E176" t="s">
        <v>2353</v>
      </c>
      <c r="F176" t="s">
        <v>2396</v>
      </c>
      <c r="G176" t="s">
        <v>74</v>
      </c>
      <c r="H176" t="s">
        <v>74</v>
      </c>
      <c r="I176" t="s">
        <v>2397</v>
      </c>
      <c r="J176" t="s">
        <v>2355</v>
      </c>
      <c r="K176" t="s">
        <v>2356</v>
      </c>
      <c r="L176" t="s">
        <v>74</v>
      </c>
      <c r="M176" t="s">
        <v>78</v>
      </c>
      <c r="N176" t="s">
        <v>79</v>
      </c>
      <c r="O176" t="s">
        <v>2357</v>
      </c>
      <c r="P176" t="s">
        <v>2358</v>
      </c>
      <c r="Q176" t="s">
        <v>2359</v>
      </c>
      <c r="R176" t="s">
        <v>74</v>
      </c>
      <c r="S176" t="s">
        <v>74</v>
      </c>
      <c r="T176" t="s">
        <v>2398</v>
      </c>
      <c r="U176" t="s">
        <v>74</v>
      </c>
      <c r="V176" t="s">
        <v>2399</v>
      </c>
      <c r="W176" t="s">
        <v>2400</v>
      </c>
      <c r="X176" t="s">
        <v>2392</v>
      </c>
      <c r="Y176" t="s">
        <v>2401</v>
      </c>
      <c r="Z176" t="s">
        <v>74</v>
      </c>
      <c r="AA176" t="s">
        <v>2402</v>
      </c>
      <c r="AB176" t="s">
        <v>74</v>
      </c>
      <c r="AC176" t="s">
        <v>74</v>
      </c>
      <c r="AD176" t="s">
        <v>74</v>
      </c>
      <c r="AE176" t="s">
        <v>74</v>
      </c>
      <c r="AF176" t="s">
        <v>74</v>
      </c>
      <c r="AG176">
        <v>8</v>
      </c>
      <c r="AH176">
        <v>5</v>
      </c>
      <c r="AI176">
        <v>5</v>
      </c>
      <c r="AJ176">
        <v>0</v>
      </c>
      <c r="AK176">
        <v>1</v>
      </c>
      <c r="AL176" t="s">
        <v>2367</v>
      </c>
      <c r="AM176" t="s">
        <v>561</v>
      </c>
      <c r="AN176" t="s">
        <v>2368</v>
      </c>
      <c r="AO176" t="s">
        <v>74</v>
      </c>
      <c r="AP176" t="s">
        <v>74</v>
      </c>
      <c r="AQ176" t="s">
        <v>2369</v>
      </c>
      <c r="AR176" t="s">
        <v>2370</v>
      </c>
      <c r="AS176" t="s">
        <v>74</v>
      </c>
      <c r="AT176" t="s">
        <v>74</v>
      </c>
      <c r="AU176">
        <v>2003</v>
      </c>
      <c r="AV176" t="s">
        <v>74</v>
      </c>
      <c r="AW176" t="s">
        <v>74</v>
      </c>
      <c r="AX176" t="s">
        <v>74</v>
      </c>
      <c r="AY176" t="s">
        <v>74</v>
      </c>
      <c r="AZ176" t="s">
        <v>74</v>
      </c>
      <c r="BA176" t="s">
        <v>74</v>
      </c>
      <c r="BB176">
        <v>2811</v>
      </c>
      <c r="BC176">
        <v>2813</v>
      </c>
      <c r="BD176" t="s">
        <v>74</v>
      </c>
      <c r="BE176" t="s">
        <v>74</v>
      </c>
      <c r="BF176" t="s">
        <v>74</v>
      </c>
      <c r="BG176" t="s">
        <v>74</v>
      </c>
      <c r="BH176" t="s">
        <v>74</v>
      </c>
      <c r="BI176">
        <v>3</v>
      </c>
      <c r="BJ176" t="s">
        <v>2371</v>
      </c>
      <c r="BK176" t="s">
        <v>95</v>
      </c>
      <c r="BL176" t="s">
        <v>2372</v>
      </c>
      <c r="BM176" t="s">
        <v>2373</v>
      </c>
      <c r="BN176" t="s">
        <v>74</v>
      </c>
      <c r="BO176" t="s">
        <v>74</v>
      </c>
      <c r="BP176" t="s">
        <v>74</v>
      </c>
      <c r="BQ176" t="s">
        <v>74</v>
      </c>
      <c r="BR176" t="s">
        <v>98</v>
      </c>
      <c r="BS176" t="s">
        <v>2403</v>
      </c>
      <c r="BT176" t="str">
        <f>HYPERLINK("https%3A%2F%2Fwww.webofscience.com%2Fwos%2Fwoscc%2Ffull-record%2FWOS:000187293500925","View Full Record in Web of Science")</f>
        <v>View Full Record in Web of Science</v>
      </c>
    </row>
    <row r="177" spans="1:72" x14ac:dyDescent="0.15">
      <c r="A177" t="s">
        <v>72</v>
      </c>
      <c r="B177" t="s">
        <v>2404</v>
      </c>
      <c r="C177" t="s">
        <v>74</v>
      </c>
      <c r="D177" t="s">
        <v>74</v>
      </c>
      <c r="E177" t="s">
        <v>2353</v>
      </c>
      <c r="F177" t="s">
        <v>2404</v>
      </c>
      <c r="G177" t="s">
        <v>74</v>
      </c>
      <c r="H177" t="s">
        <v>74</v>
      </c>
      <c r="I177" t="s">
        <v>2405</v>
      </c>
      <c r="J177" t="s">
        <v>2355</v>
      </c>
      <c r="K177" t="s">
        <v>2356</v>
      </c>
      <c r="L177" t="s">
        <v>74</v>
      </c>
      <c r="M177" t="s">
        <v>78</v>
      </c>
      <c r="N177" t="s">
        <v>79</v>
      </c>
      <c r="O177" t="s">
        <v>2357</v>
      </c>
      <c r="P177" t="s">
        <v>2358</v>
      </c>
      <c r="Q177" t="s">
        <v>2359</v>
      </c>
      <c r="R177" t="s">
        <v>74</v>
      </c>
      <c r="S177" t="s">
        <v>74</v>
      </c>
      <c r="T177" t="s">
        <v>74</v>
      </c>
      <c r="U177" t="s">
        <v>74</v>
      </c>
      <c r="V177" t="s">
        <v>2406</v>
      </c>
      <c r="W177" t="s">
        <v>2378</v>
      </c>
      <c r="X177" t="s">
        <v>2379</v>
      </c>
      <c r="Y177" t="s">
        <v>2385</v>
      </c>
      <c r="Z177" t="s">
        <v>74</v>
      </c>
      <c r="AA177" t="s">
        <v>74</v>
      </c>
      <c r="AB177" t="s">
        <v>74</v>
      </c>
      <c r="AC177" t="s">
        <v>74</v>
      </c>
      <c r="AD177" t="s">
        <v>74</v>
      </c>
      <c r="AE177" t="s">
        <v>74</v>
      </c>
      <c r="AF177" t="s">
        <v>74</v>
      </c>
      <c r="AG177">
        <v>5</v>
      </c>
      <c r="AH177">
        <v>0</v>
      </c>
      <c r="AI177">
        <v>0</v>
      </c>
      <c r="AJ177">
        <v>0</v>
      </c>
      <c r="AK177">
        <v>1</v>
      </c>
      <c r="AL177" t="s">
        <v>2367</v>
      </c>
      <c r="AM177" t="s">
        <v>561</v>
      </c>
      <c r="AN177" t="s">
        <v>2368</v>
      </c>
      <c r="AO177" t="s">
        <v>74</v>
      </c>
      <c r="AP177" t="s">
        <v>74</v>
      </c>
      <c r="AQ177" t="s">
        <v>2369</v>
      </c>
      <c r="AR177" t="s">
        <v>2370</v>
      </c>
      <c r="AS177" t="s">
        <v>74</v>
      </c>
      <c r="AT177" t="s">
        <v>74</v>
      </c>
      <c r="AU177">
        <v>2003</v>
      </c>
      <c r="AV177" t="s">
        <v>74</v>
      </c>
      <c r="AW177" t="s">
        <v>74</v>
      </c>
      <c r="AX177" t="s">
        <v>74</v>
      </c>
      <c r="AY177" t="s">
        <v>74</v>
      </c>
      <c r="AZ177" t="s">
        <v>74</v>
      </c>
      <c r="BA177" t="s">
        <v>74</v>
      </c>
      <c r="BB177">
        <v>3347</v>
      </c>
      <c r="BC177">
        <v>3349</v>
      </c>
      <c r="BD177" t="s">
        <v>74</v>
      </c>
      <c r="BE177" t="s">
        <v>74</v>
      </c>
      <c r="BF177" t="s">
        <v>74</v>
      </c>
      <c r="BG177" t="s">
        <v>74</v>
      </c>
      <c r="BH177" t="s">
        <v>74</v>
      </c>
      <c r="BI177">
        <v>3</v>
      </c>
      <c r="BJ177" t="s">
        <v>2371</v>
      </c>
      <c r="BK177" t="s">
        <v>95</v>
      </c>
      <c r="BL177" t="s">
        <v>2372</v>
      </c>
      <c r="BM177" t="s">
        <v>2373</v>
      </c>
      <c r="BN177" t="s">
        <v>74</v>
      </c>
      <c r="BO177" t="s">
        <v>74</v>
      </c>
      <c r="BP177" t="s">
        <v>74</v>
      </c>
      <c r="BQ177" t="s">
        <v>74</v>
      </c>
      <c r="BR177" t="s">
        <v>98</v>
      </c>
      <c r="BS177" t="s">
        <v>2407</v>
      </c>
      <c r="BT177" t="str">
        <f>HYPERLINK("https%3A%2F%2Fwww.webofscience.com%2Fwos%2Fwoscc%2Ffull-record%2FWOS:000187293501106","View Full Record in Web of Science")</f>
        <v>View Full Record in Web of Science</v>
      </c>
    </row>
    <row r="178" spans="1:72" x14ac:dyDescent="0.15">
      <c r="A178" t="s">
        <v>552</v>
      </c>
      <c r="B178" t="s">
        <v>2408</v>
      </c>
      <c r="C178" t="s">
        <v>74</v>
      </c>
      <c r="D178" t="s">
        <v>74</v>
      </c>
      <c r="E178" t="s">
        <v>74</v>
      </c>
      <c r="F178" t="s">
        <v>2408</v>
      </c>
      <c r="G178" t="s">
        <v>74</v>
      </c>
      <c r="H178" t="s">
        <v>74</v>
      </c>
      <c r="I178" t="s">
        <v>2409</v>
      </c>
      <c r="J178" t="s">
        <v>2410</v>
      </c>
      <c r="K178" t="s">
        <v>74</v>
      </c>
      <c r="L178" t="s">
        <v>74</v>
      </c>
      <c r="M178" t="s">
        <v>78</v>
      </c>
      <c r="N178" t="s">
        <v>775</v>
      </c>
      <c r="O178" t="s">
        <v>74</v>
      </c>
      <c r="P178" t="s">
        <v>74</v>
      </c>
      <c r="Q178" t="s">
        <v>74</v>
      </c>
      <c r="R178" t="s">
        <v>74</v>
      </c>
      <c r="S178" t="s">
        <v>74</v>
      </c>
      <c r="T178" t="s">
        <v>2411</v>
      </c>
      <c r="U178" t="s">
        <v>2412</v>
      </c>
      <c r="V178" t="s">
        <v>2413</v>
      </c>
      <c r="W178" t="s">
        <v>2414</v>
      </c>
      <c r="X178" t="s">
        <v>2415</v>
      </c>
      <c r="Y178" t="s">
        <v>2416</v>
      </c>
      <c r="Z178" t="s">
        <v>2417</v>
      </c>
      <c r="AA178" t="s">
        <v>2418</v>
      </c>
      <c r="AB178" t="s">
        <v>2419</v>
      </c>
      <c r="AC178" t="s">
        <v>74</v>
      </c>
      <c r="AD178" t="s">
        <v>74</v>
      </c>
      <c r="AE178" t="s">
        <v>74</v>
      </c>
      <c r="AF178" t="s">
        <v>74</v>
      </c>
      <c r="AG178">
        <v>51</v>
      </c>
      <c r="AH178">
        <v>110</v>
      </c>
      <c r="AI178">
        <v>132</v>
      </c>
      <c r="AJ178">
        <v>0</v>
      </c>
      <c r="AK178">
        <v>41</v>
      </c>
      <c r="AL178" t="s">
        <v>1974</v>
      </c>
      <c r="AM178" t="s">
        <v>807</v>
      </c>
      <c r="AN178" t="s">
        <v>1975</v>
      </c>
      <c r="AO178" t="s">
        <v>2420</v>
      </c>
      <c r="AP178" t="s">
        <v>2421</v>
      </c>
      <c r="AQ178" t="s">
        <v>74</v>
      </c>
      <c r="AR178" t="s">
        <v>2422</v>
      </c>
      <c r="AS178" t="s">
        <v>2423</v>
      </c>
      <c r="AT178" t="s">
        <v>74</v>
      </c>
      <c r="AU178">
        <v>2003</v>
      </c>
      <c r="AV178">
        <v>52</v>
      </c>
      <c r="AW178">
        <v>2</v>
      </c>
      <c r="AX178" t="s">
        <v>74</v>
      </c>
      <c r="AY178" t="s">
        <v>74</v>
      </c>
      <c r="AZ178" t="s">
        <v>74</v>
      </c>
      <c r="BA178" t="s">
        <v>74</v>
      </c>
      <c r="BB178">
        <v>115</v>
      </c>
      <c r="BC178">
        <v>125</v>
      </c>
      <c r="BD178" t="s">
        <v>74</v>
      </c>
      <c r="BE178" t="s">
        <v>2424</v>
      </c>
      <c r="BF178" t="str">
        <f>HYPERLINK("http://dx.doi.org/10.1016/S0964-8305(03)00048-9","http://dx.doi.org/10.1016/S0964-8305(03)00048-9")</f>
        <v>http://dx.doi.org/10.1016/S0964-8305(03)00048-9</v>
      </c>
      <c r="BG178" t="s">
        <v>74</v>
      </c>
      <c r="BH178" t="s">
        <v>74</v>
      </c>
      <c r="BI178">
        <v>11</v>
      </c>
      <c r="BJ178" t="s">
        <v>2425</v>
      </c>
      <c r="BK178" t="s">
        <v>569</v>
      </c>
      <c r="BL178" t="s">
        <v>2426</v>
      </c>
      <c r="BM178" t="s">
        <v>2427</v>
      </c>
      <c r="BN178" t="s">
        <v>74</v>
      </c>
      <c r="BO178" t="s">
        <v>74</v>
      </c>
      <c r="BP178" t="s">
        <v>74</v>
      </c>
      <c r="BQ178" t="s">
        <v>74</v>
      </c>
      <c r="BR178" t="s">
        <v>98</v>
      </c>
      <c r="BS178" t="s">
        <v>2428</v>
      </c>
      <c r="BT178" t="str">
        <f>HYPERLINK("https%3A%2F%2Fwww.webofscience.com%2Fwos%2Fwoscc%2Ffull-record%2FWOS:000185246100008","View Full Record in Web of Science")</f>
        <v>View Full Record in Web of Science</v>
      </c>
    </row>
    <row r="179" spans="1:72" x14ac:dyDescent="0.15">
      <c r="A179" t="s">
        <v>552</v>
      </c>
      <c r="B179" t="s">
        <v>2429</v>
      </c>
      <c r="C179" t="s">
        <v>74</v>
      </c>
      <c r="D179" t="s">
        <v>74</v>
      </c>
      <c r="E179" t="s">
        <v>74</v>
      </c>
      <c r="F179" t="s">
        <v>2429</v>
      </c>
      <c r="G179" t="s">
        <v>74</v>
      </c>
      <c r="H179" t="s">
        <v>74</v>
      </c>
      <c r="I179" t="s">
        <v>2430</v>
      </c>
      <c r="J179" t="s">
        <v>2431</v>
      </c>
      <c r="K179" t="s">
        <v>74</v>
      </c>
      <c r="L179" t="s">
        <v>74</v>
      </c>
      <c r="M179" t="s">
        <v>78</v>
      </c>
      <c r="N179" t="s">
        <v>775</v>
      </c>
      <c r="O179" t="s">
        <v>74</v>
      </c>
      <c r="P179" t="s">
        <v>74</v>
      </c>
      <c r="Q179" t="s">
        <v>74</v>
      </c>
      <c r="R179" t="s">
        <v>74</v>
      </c>
      <c r="S179" t="s">
        <v>74</v>
      </c>
      <c r="T179" t="s">
        <v>74</v>
      </c>
      <c r="U179" t="s">
        <v>2432</v>
      </c>
      <c r="V179" t="s">
        <v>2433</v>
      </c>
      <c r="W179" t="s">
        <v>2434</v>
      </c>
      <c r="X179" t="s">
        <v>2435</v>
      </c>
      <c r="Y179" t="s">
        <v>2436</v>
      </c>
      <c r="Z179" t="s">
        <v>2437</v>
      </c>
      <c r="AA179" t="s">
        <v>74</v>
      </c>
      <c r="AB179" t="s">
        <v>2438</v>
      </c>
      <c r="AC179" t="s">
        <v>74</v>
      </c>
      <c r="AD179" t="s">
        <v>74</v>
      </c>
      <c r="AE179" t="s">
        <v>74</v>
      </c>
      <c r="AF179" t="s">
        <v>74</v>
      </c>
      <c r="AG179">
        <v>25</v>
      </c>
      <c r="AH179">
        <v>80</v>
      </c>
      <c r="AI179">
        <v>89</v>
      </c>
      <c r="AJ179">
        <v>1</v>
      </c>
      <c r="AK179">
        <v>11</v>
      </c>
      <c r="AL179" t="s">
        <v>2439</v>
      </c>
      <c r="AM179" t="s">
        <v>2113</v>
      </c>
      <c r="AN179" t="s">
        <v>2440</v>
      </c>
      <c r="AO179" t="s">
        <v>2441</v>
      </c>
      <c r="AP179" t="s">
        <v>2442</v>
      </c>
      <c r="AQ179" t="s">
        <v>74</v>
      </c>
      <c r="AR179" t="s">
        <v>2443</v>
      </c>
      <c r="AS179" t="s">
        <v>2444</v>
      </c>
      <c r="AT179" t="s">
        <v>566</v>
      </c>
      <c r="AU179">
        <v>2003</v>
      </c>
      <c r="AV179">
        <v>53</v>
      </c>
      <c r="AW179" t="s">
        <v>74</v>
      </c>
      <c r="AX179">
        <v>1</v>
      </c>
      <c r="AY179" t="s">
        <v>74</v>
      </c>
      <c r="AZ179" t="s">
        <v>74</v>
      </c>
      <c r="BA179" t="s">
        <v>74</v>
      </c>
      <c r="BB179">
        <v>183</v>
      </c>
      <c r="BC179">
        <v>187</v>
      </c>
      <c r="BD179" t="s">
        <v>74</v>
      </c>
      <c r="BE179" t="s">
        <v>2445</v>
      </c>
      <c r="BF179" t="str">
        <f>HYPERLINK("http://dx.doi.org/10.1099/ijs.0.02336-0","http://dx.doi.org/10.1099/ijs.0.02336-0")</f>
        <v>http://dx.doi.org/10.1099/ijs.0.02336-0</v>
      </c>
      <c r="BG179" t="s">
        <v>74</v>
      </c>
      <c r="BH179" t="s">
        <v>74</v>
      </c>
      <c r="BI179">
        <v>5</v>
      </c>
      <c r="BJ179" t="s">
        <v>2446</v>
      </c>
      <c r="BK179" t="s">
        <v>569</v>
      </c>
      <c r="BL179" t="s">
        <v>2446</v>
      </c>
      <c r="BM179" t="s">
        <v>2447</v>
      </c>
      <c r="BN179">
        <v>12656171</v>
      </c>
      <c r="BO179" t="s">
        <v>572</v>
      </c>
      <c r="BP179" t="s">
        <v>74</v>
      </c>
      <c r="BQ179" t="s">
        <v>74</v>
      </c>
      <c r="BR179" t="s">
        <v>98</v>
      </c>
      <c r="BS179" t="s">
        <v>2448</v>
      </c>
      <c r="BT179" t="str">
        <f>HYPERLINK("https%3A%2F%2Fwww.webofscience.com%2Fwos%2Fwoscc%2Ffull-record%2FWOS:000181169300028","View Full Record in Web of Science")</f>
        <v>View Full Record in Web of Science</v>
      </c>
    </row>
    <row r="180" spans="1:72" x14ac:dyDescent="0.15">
      <c r="A180" t="s">
        <v>72</v>
      </c>
      <c r="B180" t="s">
        <v>2449</v>
      </c>
      <c r="C180" t="s">
        <v>74</v>
      </c>
      <c r="D180" t="s">
        <v>2450</v>
      </c>
      <c r="E180" t="s">
        <v>74</v>
      </c>
      <c r="F180" t="s">
        <v>2449</v>
      </c>
      <c r="G180" t="s">
        <v>74</v>
      </c>
      <c r="H180" t="s">
        <v>74</v>
      </c>
      <c r="I180" t="s">
        <v>2451</v>
      </c>
      <c r="J180" t="s">
        <v>2452</v>
      </c>
      <c r="K180" t="s">
        <v>2453</v>
      </c>
      <c r="L180" t="s">
        <v>74</v>
      </c>
      <c r="M180" t="s">
        <v>78</v>
      </c>
      <c r="N180" t="s">
        <v>79</v>
      </c>
      <c r="O180" t="s">
        <v>2454</v>
      </c>
      <c r="P180" t="s">
        <v>2455</v>
      </c>
      <c r="Q180" t="s">
        <v>2456</v>
      </c>
      <c r="R180" t="s">
        <v>74</v>
      </c>
      <c r="S180" t="s">
        <v>74</v>
      </c>
      <c r="T180" t="s">
        <v>74</v>
      </c>
      <c r="U180" t="s">
        <v>2457</v>
      </c>
      <c r="V180" t="s">
        <v>2458</v>
      </c>
      <c r="W180" t="s">
        <v>2459</v>
      </c>
      <c r="X180" t="s">
        <v>2460</v>
      </c>
      <c r="Y180" t="s">
        <v>2461</v>
      </c>
      <c r="Z180" t="s">
        <v>2462</v>
      </c>
      <c r="AA180" t="s">
        <v>74</v>
      </c>
      <c r="AB180" t="s">
        <v>2463</v>
      </c>
      <c r="AC180" t="s">
        <v>74</v>
      </c>
      <c r="AD180" t="s">
        <v>74</v>
      </c>
      <c r="AE180" t="s">
        <v>74</v>
      </c>
      <c r="AF180" t="s">
        <v>74</v>
      </c>
      <c r="AG180">
        <v>94</v>
      </c>
      <c r="AH180">
        <v>27</v>
      </c>
      <c r="AI180">
        <v>27</v>
      </c>
      <c r="AJ180">
        <v>1</v>
      </c>
      <c r="AK180">
        <v>4</v>
      </c>
      <c r="AL180" t="s">
        <v>2464</v>
      </c>
      <c r="AM180" t="s">
        <v>2465</v>
      </c>
      <c r="AN180" t="s">
        <v>2466</v>
      </c>
      <c r="AO180" t="s">
        <v>2467</v>
      </c>
      <c r="AP180" t="s">
        <v>74</v>
      </c>
      <c r="AQ180" t="s">
        <v>2468</v>
      </c>
      <c r="AR180" t="s">
        <v>2469</v>
      </c>
      <c r="AS180" t="s">
        <v>2470</v>
      </c>
      <c r="AT180" t="s">
        <v>74</v>
      </c>
      <c r="AU180">
        <v>2003</v>
      </c>
      <c r="AV180">
        <v>210</v>
      </c>
      <c r="AW180" t="s">
        <v>74</v>
      </c>
      <c r="AX180" t="s">
        <v>74</v>
      </c>
      <c r="AY180" t="s">
        <v>74</v>
      </c>
      <c r="AZ180" t="s">
        <v>74</v>
      </c>
      <c r="BA180" t="s">
        <v>74</v>
      </c>
      <c r="BB180">
        <v>109</v>
      </c>
      <c r="BC180">
        <v>133</v>
      </c>
      <c r="BD180" t="s">
        <v>74</v>
      </c>
      <c r="BE180" t="s">
        <v>2471</v>
      </c>
      <c r="BF180" t="str">
        <f>HYPERLINK("http://dx.doi.org/10.1144/GSL.SP.2003.210.01.07","http://dx.doi.org/10.1144/GSL.SP.2003.210.01.07")</f>
        <v>http://dx.doi.org/10.1144/GSL.SP.2003.210.01.07</v>
      </c>
      <c r="BG180" t="s">
        <v>74</v>
      </c>
      <c r="BH180" t="s">
        <v>74</v>
      </c>
      <c r="BI180">
        <v>25</v>
      </c>
      <c r="BJ180" t="s">
        <v>2472</v>
      </c>
      <c r="BK180" t="s">
        <v>95</v>
      </c>
      <c r="BL180" t="s">
        <v>2472</v>
      </c>
      <c r="BM180" t="s">
        <v>2473</v>
      </c>
      <c r="BN180" t="s">
        <v>74</v>
      </c>
      <c r="BO180" t="s">
        <v>74</v>
      </c>
      <c r="BP180" t="s">
        <v>74</v>
      </c>
      <c r="BQ180" t="s">
        <v>74</v>
      </c>
      <c r="BR180" t="s">
        <v>98</v>
      </c>
      <c r="BS180" t="s">
        <v>2474</v>
      </c>
      <c r="BT180" t="str">
        <f>HYPERLINK("https%3A%2F%2Fwww.webofscience.com%2Fwos%2Fwoscc%2Ffull-record%2FWOS:000189427300007","View Full Record in Web of Science")</f>
        <v>View Full Record in Web of Science</v>
      </c>
    </row>
    <row r="181" spans="1:72" x14ac:dyDescent="0.15">
      <c r="A181" t="s">
        <v>72</v>
      </c>
      <c r="B181" t="s">
        <v>2475</v>
      </c>
      <c r="C181" t="s">
        <v>74</v>
      </c>
      <c r="D181" t="s">
        <v>2450</v>
      </c>
      <c r="E181" t="s">
        <v>74</v>
      </c>
      <c r="F181" t="s">
        <v>2475</v>
      </c>
      <c r="G181" t="s">
        <v>74</v>
      </c>
      <c r="H181" t="s">
        <v>74</v>
      </c>
      <c r="I181" t="s">
        <v>2476</v>
      </c>
      <c r="J181" t="s">
        <v>2452</v>
      </c>
      <c r="K181" t="s">
        <v>2453</v>
      </c>
      <c r="L181" t="s">
        <v>74</v>
      </c>
      <c r="M181" t="s">
        <v>78</v>
      </c>
      <c r="N181" t="s">
        <v>79</v>
      </c>
      <c r="O181" t="s">
        <v>2454</v>
      </c>
      <c r="P181" t="s">
        <v>2455</v>
      </c>
      <c r="Q181" t="s">
        <v>2456</v>
      </c>
      <c r="R181" t="s">
        <v>74</v>
      </c>
      <c r="S181" t="s">
        <v>74</v>
      </c>
      <c r="T181" t="s">
        <v>74</v>
      </c>
      <c r="U181" t="s">
        <v>2477</v>
      </c>
      <c r="V181" t="s">
        <v>2478</v>
      </c>
      <c r="W181" t="s">
        <v>2479</v>
      </c>
      <c r="X181" t="s">
        <v>2480</v>
      </c>
      <c r="Y181" t="s">
        <v>2481</v>
      </c>
      <c r="Z181" t="s">
        <v>2482</v>
      </c>
      <c r="AA181" t="s">
        <v>2483</v>
      </c>
      <c r="AB181" t="s">
        <v>2484</v>
      </c>
      <c r="AC181" t="s">
        <v>74</v>
      </c>
      <c r="AD181" t="s">
        <v>74</v>
      </c>
      <c r="AE181" t="s">
        <v>74</v>
      </c>
      <c r="AF181" t="s">
        <v>74</v>
      </c>
      <c r="AG181">
        <v>74</v>
      </c>
      <c r="AH181">
        <v>48</v>
      </c>
      <c r="AI181">
        <v>50</v>
      </c>
      <c r="AJ181">
        <v>0</v>
      </c>
      <c r="AK181">
        <v>7</v>
      </c>
      <c r="AL181" t="s">
        <v>2464</v>
      </c>
      <c r="AM181" t="s">
        <v>2465</v>
      </c>
      <c r="AN181" t="s">
        <v>2466</v>
      </c>
      <c r="AO181" t="s">
        <v>2467</v>
      </c>
      <c r="AP181" t="s">
        <v>74</v>
      </c>
      <c r="AQ181" t="s">
        <v>2468</v>
      </c>
      <c r="AR181" t="s">
        <v>2469</v>
      </c>
      <c r="AS181" t="s">
        <v>74</v>
      </c>
      <c r="AT181" t="s">
        <v>74</v>
      </c>
      <c r="AU181">
        <v>2003</v>
      </c>
      <c r="AV181">
        <v>210</v>
      </c>
      <c r="AW181" t="s">
        <v>74</v>
      </c>
      <c r="AX181" t="s">
        <v>74</v>
      </c>
      <c r="AY181" t="s">
        <v>74</v>
      </c>
      <c r="AZ181" t="s">
        <v>74</v>
      </c>
      <c r="BA181" t="s">
        <v>74</v>
      </c>
      <c r="BB181">
        <v>145</v>
      </c>
      <c r="BC181">
        <v>158</v>
      </c>
      <c r="BD181" t="s">
        <v>74</v>
      </c>
      <c r="BE181" t="s">
        <v>2485</v>
      </c>
      <c r="BF181" t="str">
        <f>HYPERLINK("http://dx.doi.org/10.1144/GSL.SP.2003.210.01.09","http://dx.doi.org/10.1144/GSL.SP.2003.210.01.09")</f>
        <v>http://dx.doi.org/10.1144/GSL.SP.2003.210.01.09</v>
      </c>
      <c r="BG181" t="s">
        <v>74</v>
      </c>
      <c r="BH181" t="s">
        <v>74</v>
      </c>
      <c r="BI181">
        <v>14</v>
      </c>
      <c r="BJ181" t="s">
        <v>2472</v>
      </c>
      <c r="BK181" t="s">
        <v>95</v>
      </c>
      <c r="BL181" t="s">
        <v>2472</v>
      </c>
      <c r="BM181" t="s">
        <v>2473</v>
      </c>
      <c r="BN181" t="s">
        <v>74</v>
      </c>
      <c r="BO181" t="s">
        <v>74</v>
      </c>
      <c r="BP181" t="s">
        <v>74</v>
      </c>
      <c r="BQ181" t="s">
        <v>74</v>
      </c>
      <c r="BR181" t="s">
        <v>98</v>
      </c>
      <c r="BS181" t="s">
        <v>2486</v>
      </c>
      <c r="BT181" t="str">
        <f>HYPERLINK("https%3A%2F%2Fwww.webofscience.com%2Fwos%2Fwoscc%2Ffull-record%2FWOS:000189427300009","View Full Record in Web of Science")</f>
        <v>View Full Record in Web of Science</v>
      </c>
    </row>
    <row r="182" spans="1:72" x14ac:dyDescent="0.15">
      <c r="A182" t="s">
        <v>552</v>
      </c>
      <c r="B182" t="s">
        <v>2487</v>
      </c>
      <c r="C182" t="s">
        <v>74</v>
      </c>
      <c r="D182" t="s">
        <v>74</v>
      </c>
      <c r="E182" t="s">
        <v>74</v>
      </c>
      <c r="F182" t="s">
        <v>2487</v>
      </c>
      <c r="G182" t="s">
        <v>74</v>
      </c>
      <c r="H182" t="s">
        <v>74</v>
      </c>
      <c r="I182" t="s">
        <v>2488</v>
      </c>
      <c r="J182" t="s">
        <v>2489</v>
      </c>
      <c r="K182" t="s">
        <v>74</v>
      </c>
      <c r="L182" t="s">
        <v>74</v>
      </c>
      <c r="M182" t="s">
        <v>78</v>
      </c>
      <c r="N182" t="s">
        <v>775</v>
      </c>
      <c r="O182" t="s">
        <v>74</v>
      </c>
      <c r="P182" t="s">
        <v>74</v>
      </c>
      <c r="Q182" t="s">
        <v>74</v>
      </c>
      <c r="R182" t="s">
        <v>74</v>
      </c>
      <c r="S182" t="s">
        <v>74</v>
      </c>
      <c r="T182" t="s">
        <v>74</v>
      </c>
      <c r="U182" t="s">
        <v>74</v>
      </c>
      <c r="V182" t="s">
        <v>2490</v>
      </c>
      <c r="W182" t="s">
        <v>2491</v>
      </c>
      <c r="X182" t="s">
        <v>2492</v>
      </c>
      <c r="Y182" t="s">
        <v>2493</v>
      </c>
      <c r="Z182" t="s">
        <v>74</v>
      </c>
      <c r="AA182" t="s">
        <v>74</v>
      </c>
      <c r="AB182" t="s">
        <v>74</v>
      </c>
      <c r="AC182" t="s">
        <v>74</v>
      </c>
      <c r="AD182" t="s">
        <v>74</v>
      </c>
      <c r="AE182" t="s">
        <v>74</v>
      </c>
      <c r="AF182" t="s">
        <v>74</v>
      </c>
      <c r="AG182">
        <v>29</v>
      </c>
      <c r="AH182">
        <v>7</v>
      </c>
      <c r="AI182">
        <v>7</v>
      </c>
      <c r="AJ182">
        <v>0</v>
      </c>
      <c r="AK182">
        <v>1</v>
      </c>
      <c r="AL182" t="s">
        <v>1807</v>
      </c>
      <c r="AM182" t="s">
        <v>1808</v>
      </c>
      <c r="AN182" t="s">
        <v>1809</v>
      </c>
      <c r="AO182" t="s">
        <v>2494</v>
      </c>
      <c r="AP182" t="s">
        <v>74</v>
      </c>
      <c r="AQ182" t="s">
        <v>74</v>
      </c>
      <c r="AR182" t="s">
        <v>2495</v>
      </c>
      <c r="AS182" t="s">
        <v>2496</v>
      </c>
      <c r="AT182" t="s">
        <v>790</v>
      </c>
      <c r="AU182">
        <v>2003</v>
      </c>
      <c r="AV182">
        <v>39</v>
      </c>
      <c r="AW182">
        <v>1</v>
      </c>
      <c r="AX182" t="s">
        <v>74</v>
      </c>
      <c r="AY182" t="s">
        <v>74</v>
      </c>
      <c r="AZ182" t="s">
        <v>74</v>
      </c>
      <c r="BA182" t="s">
        <v>74</v>
      </c>
      <c r="BB182">
        <v>93</v>
      </c>
      <c r="BC182">
        <v>107</v>
      </c>
      <c r="BD182" t="s">
        <v>74</v>
      </c>
      <c r="BE182" t="s">
        <v>74</v>
      </c>
      <c r="BF182" t="s">
        <v>74</v>
      </c>
      <c r="BG182" t="s">
        <v>74</v>
      </c>
      <c r="BH182" t="s">
        <v>74</v>
      </c>
      <c r="BI182">
        <v>15</v>
      </c>
      <c r="BJ182" t="s">
        <v>2497</v>
      </c>
      <c r="BK182" t="s">
        <v>569</v>
      </c>
      <c r="BL182" t="s">
        <v>2497</v>
      </c>
      <c r="BM182" t="s">
        <v>2498</v>
      </c>
      <c r="BN182" t="s">
        <v>74</v>
      </c>
      <c r="BO182" t="s">
        <v>74</v>
      </c>
      <c r="BP182" t="s">
        <v>74</v>
      </c>
      <c r="BQ182" t="s">
        <v>74</v>
      </c>
      <c r="BR182" t="s">
        <v>98</v>
      </c>
      <c r="BS182" t="s">
        <v>2499</v>
      </c>
      <c r="BT182" t="str">
        <f>HYPERLINK("https%3A%2F%2Fwww.webofscience.com%2Fwos%2Fwoscc%2Ffull-record%2FWOS:000180793300011","View Full Record in Web of Science")</f>
        <v>View Full Record in Web of Science</v>
      </c>
    </row>
    <row r="183" spans="1:72" x14ac:dyDescent="0.15">
      <c r="A183" t="s">
        <v>552</v>
      </c>
      <c r="B183" t="s">
        <v>2500</v>
      </c>
      <c r="C183" t="s">
        <v>74</v>
      </c>
      <c r="D183" t="s">
        <v>74</v>
      </c>
      <c r="E183" t="s">
        <v>74</v>
      </c>
      <c r="F183" t="s">
        <v>2500</v>
      </c>
      <c r="G183" t="s">
        <v>74</v>
      </c>
      <c r="H183" t="s">
        <v>74</v>
      </c>
      <c r="I183" t="s">
        <v>2501</v>
      </c>
      <c r="J183" t="s">
        <v>2502</v>
      </c>
      <c r="K183" t="s">
        <v>74</v>
      </c>
      <c r="L183" t="s">
        <v>74</v>
      </c>
      <c r="M183" t="s">
        <v>78</v>
      </c>
      <c r="N183" t="s">
        <v>775</v>
      </c>
      <c r="O183" t="s">
        <v>74</v>
      </c>
      <c r="P183" t="s">
        <v>74</v>
      </c>
      <c r="Q183" t="s">
        <v>74</v>
      </c>
      <c r="R183" t="s">
        <v>74</v>
      </c>
      <c r="S183" t="s">
        <v>74</v>
      </c>
      <c r="T183" t="s">
        <v>2503</v>
      </c>
      <c r="U183" t="s">
        <v>2504</v>
      </c>
      <c r="V183" t="s">
        <v>2505</v>
      </c>
      <c r="W183" t="s">
        <v>2506</v>
      </c>
      <c r="X183" t="s">
        <v>2507</v>
      </c>
      <c r="Y183" t="s">
        <v>2508</v>
      </c>
      <c r="Z183" t="s">
        <v>74</v>
      </c>
      <c r="AA183" t="s">
        <v>74</v>
      </c>
      <c r="AB183" t="s">
        <v>74</v>
      </c>
      <c r="AC183" t="s">
        <v>74</v>
      </c>
      <c r="AD183" t="s">
        <v>74</v>
      </c>
      <c r="AE183" t="s">
        <v>74</v>
      </c>
      <c r="AF183" t="s">
        <v>74</v>
      </c>
      <c r="AG183">
        <v>22</v>
      </c>
      <c r="AH183">
        <v>2</v>
      </c>
      <c r="AI183">
        <v>2</v>
      </c>
      <c r="AJ183">
        <v>0</v>
      </c>
      <c r="AK183">
        <v>1</v>
      </c>
      <c r="AL183" t="s">
        <v>2509</v>
      </c>
      <c r="AM183" t="s">
        <v>2113</v>
      </c>
      <c r="AN183" t="s">
        <v>2510</v>
      </c>
      <c r="AO183" t="s">
        <v>2511</v>
      </c>
      <c r="AP183" t="s">
        <v>74</v>
      </c>
      <c r="AQ183" t="s">
        <v>74</v>
      </c>
      <c r="AR183" t="s">
        <v>2512</v>
      </c>
      <c r="AS183" t="s">
        <v>2513</v>
      </c>
      <c r="AT183" t="s">
        <v>790</v>
      </c>
      <c r="AU183">
        <v>2003</v>
      </c>
      <c r="AV183">
        <v>56</v>
      </c>
      <c r="AW183" t="s">
        <v>1866</v>
      </c>
      <c r="AX183" t="s">
        <v>74</v>
      </c>
      <c r="AY183" t="s">
        <v>74</v>
      </c>
      <c r="AZ183" t="s">
        <v>74</v>
      </c>
      <c r="BA183" t="s">
        <v>74</v>
      </c>
      <c r="BB183">
        <v>33</v>
      </c>
      <c r="BC183">
        <v>42</v>
      </c>
      <c r="BD183" t="s">
        <v>74</v>
      </c>
      <c r="BE183" t="s">
        <v>74</v>
      </c>
      <c r="BF183" t="s">
        <v>74</v>
      </c>
      <c r="BG183" t="s">
        <v>74</v>
      </c>
      <c r="BH183" t="s">
        <v>74</v>
      </c>
      <c r="BI183">
        <v>10</v>
      </c>
      <c r="BJ183" t="s">
        <v>2514</v>
      </c>
      <c r="BK183" t="s">
        <v>569</v>
      </c>
      <c r="BL183" t="s">
        <v>2515</v>
      </c>
      <c r="BM183" t="s">
        <v>2516</v>
      </c>
      <c r="BN183" t="s">
        <v>74</v>
      </c>
      <c r="BO183" t="s">
        <v>74</v>
      </c>
      <c r="BP183" t="s">
        <v>74</v>
      </c>
      <c r="BQ183" t="s">
        <v>74</v>
      </c>
      <c r="BR183" t="s">
        <v>98</v>
      </c>
      <c r="BS183" t="s">
        <v>2517</v>
      </c>
      <c r="BT183" t="str">
        <f>HYPERLINK("https%3A%2F%2Fwww.webofscience.com%2Fwos%2Fwoscc%2Ffull-record%2FWOS:000181594800002","View Full Record in Web of Science")</f>
        <v>View Full Record in Web of Science</v>
      </c>
    </row>
    <row r="184" spans="1:72" x14ac:dyDescent="0.15">
      <c r="A184" t="s">
        <v>552</v>
      </c>
      <c r="B184" t="s">
        <v>2518</v>
      </c>
      <c r="C184" t="s">
        <v>74</v>
      </c>
      <c r="D184" t="s">
        <v>74</v>
      </c>
      <c r="E184" t="s">
        <v>74</v>
      </c>
      <c r="F184" t="s">
        <v>2518</v>
      </c>
      <c r="G184" t="s">
        <v>74</v>
      </c>
      <c r="H184" t="s">
        <v>74</v>
      </c>
      <c r="I184" t="s">
        <v>2519</v>
      </c>
      <c r="J184" t="s">
        <v>2502</v>
      </c>
      <c r="K184" t="s">
        <v>74</v>
      </c>
      <c r="L184" t="s">
        <v>74</v>
      </c>
      <c r="M184" t="s">
        <v>78</v>
      </c>
      <c r="N184" t="s">
        <v>775</v>
      </c>
      <c r="O184" t="s">
        <v>74</v>
      </c>
      <c r="P184" t="s">
        <v>74</v>
      </c>
      <c r="Q184" t="s">
        <v>74</v>
      </c>
      <c r="R184" t="s">
        <v>74</v>
      </c>
      <c r="S184" t="s">
        <v>74</v>
      </c>
      <c r="T184" t="s">
        <v>2503</v>
      </c>
      <c r="U184" t="s">
        <v>2520</v>
      </c>
      <c r="V184" t="s">
        <v>2521</v>
      </c>
      <c r="W184" t="s">
        <v>2522</v>
      </c>
      <c r="X184" t="s">
        <v>2523</v>
      </c>
      <c r="Y184" t="s">
        <v>2524</v>
      </c>
      <c r="Z184" t="s">
        <v>74</v>
      </c>
      <c r="AA184" t="s">
        <v>74</v>
      </c>
      <c r="AB184" t="s">
        <v>74</v>
      </c>
      <c r="AC184" t="s">
        <v>74</v>
      </c>
      <c r="AD184" t="s">
        <v>74</v>
      </c>
      <c r="AE184" t="s">
        <v>74</v>
      </c>
      <c r="AF184" t="s">
        <v>74</v>
      </c>
      <c r="AG184">
        <v>31</v>
      </c>
      <c r="AH184">
        <v>5</v>
      </c>
      <c r="AI184">
        <v>5</v>
      </c>
      <c r="AJ184">
        <v>0</v>
      </c>
      <c r="AK184">
        <v>2</v>
      </c>
      <c r="AL184" t="s">
        <v>2509</v>
      </c>
      <c r="AM184" t="s">
        <v>2113</v>
      </c>
      <c r="AN184" t="s">
        <v>2510</v>
      </c>
      <c r="AO184" t="s">
        <v>2511</v>
      </c>
      <c r="AP184" t="s">
        <v>74</v>
      </c>
      <c r="AQ184" t="s">
        <v>74</v>
      </c>
      <c r="AR184" t="s">
        <v>2512</v>
      </c>
      <c r="AS184" t="s">
        <v>2513</v>
      </c>
      <c r="AT184" t="s">
        <v>790</v>
      </c>
      <c r="AU184">
        <v>2003</v>
      </c>
      <c r="AV184">
        <v>56</v>
      </c>
      <c r="AW184" t="s">
        <v>1866</v>
      </c>
      <c r="AX184" t="s">
        <v>74</v>
      </c>
      <c r="AY184" t="s">
        <v>74</v>
      </c>
      <c r="AZ184" t="s">
        <v>74</v>
      </c>
      <c r="BA184" t="s">
        <v>74</v>
      </c>
      <c r="BB184">
        <v>43</v>
      </c>
      <c r="BC184">
        <v>55</v>
      </c>
      <c r="BD184" t="s">
        <v>74</v>
      </c>
      <c r="BE184" t="s">
        <v>74</v>
      </c>
      <c r="BF184" t="s">
        <v>74</v>
      </c>
      <c r="BG184" t="s">
        <v>74</v>
      </c>
      <c r="BH184" t="s">
        <v>74</v>
      </c>
      <c r="BI184">
        <v>13</v>
      </c>
      <c r="BJ184" t="s">
        <v>2514</v>
      </c>
      <c r="BK184" t="s">
        <v>569</v>
      </c>
      <c r="BL184" t="s">
        <v>2515</v>
      </c>
      <c r="BM184" t="s">
        <v>2516</v>
      </c>
      <c r="BN184" t="s">
        <v>74</v>
      </c>
      <c r="BO184" t="s">
        <v>74</v>
      </c>
      <c r="BP184" t="s">
        <v>74</v>
      </c>
      <c r="BQ184" t="s">
        <v>74</v>
      </c>
      <c r="BR184" t="s">
        <v>98</v>
      </c>
      <c r="BS184" t="s">
        <v>2525</v>
      </c>
      <c r="BT184" t="str">
        <f>HYPERLINK("https%3A%2F%2Fwww.webofscience.com%2Fwos%2Fwoscc%2Ffull-record%2FWOS:000181594800003","View Full Record in Web of Science")</f>
        <v>View Full Record in Web of Science</v>
      </c>
    </row>
    <row r="185" spans="1:72" x14ac:dyDescent="0.15">
      <c r="A185" t="s">
        <v>72</v>
      </c>
      <c r="B185" t="s">
        <v>2526</v>
      </c>
      <c r="C185" t="s">
        <v>74</v>
      </c>
      <c r="D185" t="s">
        <v>2527</v>
      </c>
      <c r="E185" t="s">
        <v>74</v>
      </c>
      <c r="F185" t="s">
        <v>2526</v>
      </c>
      <c r="G185" t="s">
        <v>74</v>
      </c>
      <c r="H185" t="s">
        <v>74</v>
      </c>
      <c r="I185" t="s">
        <v>2528</v>
      </c>
      <c r="J185" t="s">
        <v>2529</v>
      </c>
      <c r="K185" t="s">
        <v>2530</v>
      </c>
      <c r="L185" t="s">
        <v>74</v>
      </c>
      <c r="M185" t="s">
        <v>78</v>
      </c>
      <c r="N185" t="s">
        <v>79</v>
      </c>
      <c r="O185" t="s">
        <v>2531</v>
      </c>
      <c r="P185" t="s">
        <v>2532</v>
      </c>
      <c r="Q185" t="s">
        <v>2533</v>
      </c>
      <c r="R185" t="s">
        <v>74</v>
      </c>
      <c r="S185" t="s">
        <v>2534</v>
      </c>
      <c r="T185" t="s">
        <v>74</v>
      </c>
      <c r="U185" t="s">
        <v>74</v>
      </c>
      <c r="V185" t="s">
        <v>2535</v>
      </c>
      <c r="W185" t="s">
        <v>2536</v>
      </c>
      <c r="X185" t="s">
        <v>2537</v>
      </c>
      <c r="Y185" t="s">
        <v>2538</v>
      </c>
      <c r="Z185" t="s">
        <v>74</v>
      </c>
      <c r="AA185" t="s">
        <v>2539</v>
      </c>
      <c r="AB185" t="s">
        <v>2540</v>
      </c>
      <c r="AC185" t="s">
        <v>74</v>
      </c>
      <c r="AD185" t="s">
        <v>74</v>
      </c>
      <c r="AE185" t="s">
        <v>74</v>
      </c>
      <c r="AF185" t="s">
        <v>74</v>
      </c>
      <c r="AG185">
        <v>13</v>
      </c>
      <c r="AH185">
        <v>3</v>
      </c>
      <c r="AI185">
        <v>3</v>
      </c>
      <c r="AJ185">
        <v>0</v>
      </c>
      <c r="AK185">
        <v>3</v>
      </c>
      <c r="AL185" t="s">
        <v>2541</v>
      </c>
      <c r="AM185" t="s">
        <v>2542</v>
      </c>
      <c r="AN185" t="s">
        <v>2543</v>
      </c>
      <c r="AO185" t="s">
        <v>2544</v>
      </c>
      <c r="AP185" t="s">
        <v>74</v>
      </c>
      <c r="AQ185" t="s">
        <v>2545</v>
      </c>
      <c r="AR185" t="s">
        <v>2546</v>
      </c>
      <c r="AS185" t="s">
        <v>74</v>
      </c>
      <c r="AT185" t="s">
        <v>74</v>
      </c>
      <c r="AU185">
        <v>2003</v>
      </c>
      <c r="AV185">
        <v>115</v>
      </c>
      <c r="AW185" t="s">
        <v>74</v>
      </c>
      <c r="AX185" t="s">
        <v>74</v>
      </c>
      <c r="AY185" t="s">
        <v>74</v>
      </c>
      <c r="AZ185" t="s">
        <v>74</v>
      </c>
      <c r="BA185" t="s">
        <v>74</v>
      </c>
      <c r="BB185">
        <v>415</v>
      </c>
      <c r="BC185">
        <v>426</v>
      </c>
      <c r="BD185" t="s">
        <v>74</v>
      </c>
      <c r="BE185" t="s">
        <v>74</v>
      </c>
      <c r="BF185" t="s">
        <v>74</v>
      </c>
      <c r="BG185" t="s">
        <v>74</v>
      </c>
      <c r="BH185" t="s">
        <v>74</v>
      </c>
      <c r="BI185">
        <v>12</v>
      </c>
      <c r="BJ185" t="s">
        <v>2547</v>
      </c>
      <c r="BK185" t="s">
        <v>95</v>
      </c>
      <c r="BL185" t="s">
        <v>2548</v>
      </c>
      <c r="BM185" t="s">
        <v>2549</v>
      </c>
      <c r="BN185" t="s">
        <v>74</v>
      </c>
      <c r="BO185" t="s">
        <v>74</v>
      </c>
      <c r="BP185" t="s">
        <v>74</v>
      </c>
      <c r="BQ185" t="s">
        <v>74</v>
      </c>
      <c r="BR185" t="s">
        <v>98</v>
      </c>
      <c r="BS185" t="s">
        <v>2550</v>
      </c>
      <c r="BT185" t="str">
        <f>HYPERLINK("https%3A%2F%2Fwww.webofscience.com%2Fwos%2Fwoscc%2Ffull-record%2FWOS:000187552100023","View Full Record in Web of Science")</f>
        <v>View Full Record in Web of Science</v>
      </c>
    </row>
    <row r="186" spans="1:72" x14ac:dyDescent="0.15">
      <c r="A186" t="s">
        <v>552</v>
      </c>
      <c r="B186" t="s">
        <v>2551</v>
      </c>
      <c r="C186" t="s">
        <v>74</v>
      </c>
      <c r="D186" t="s">
        <v>74</v>
      </c>
      <c r="E186" t="s">
        <v>74</v>
      </c>
      <c r="F186" t="s">
        <v>2551</v>
      </c>
      <c r="G186" t="s">
        <v>74</v>
      </c>
      <c r="H186" t="s">
        <v>74</v>
      </c>
      <c r="I186" t="s">
        <v>2552</v>
      </c>
      <c r="J186" t="s">
        <v>2553</v>
      </c>
      <c r="K186" t="s">
        <v>74</v>
      </c>
      <c r="L186" t="s">
        <v>74</v>
      </c>
      <c r="M186" t="s">
        <v>78</v>
      </c>
      <c r="N186" t="s">
        <v>775</v>
      </c>
      <c r="O186" t="s">
        <v>74</v>
      </c>
      <c r="P186" t="s">
        <v>74</v>
      </c>
      <c r="Q186" t="s">
        <v>74</v>
      </c>
      <c r="R186" t="s">
        <v>74</v>
      </c>
      <c r="S186" t="s">
        <v>74</v>
      </c>
      <c r="T186" t="s">
        <v>2554</v>
      </c>
      <c r="U186" t="s">
        <v>2555</v>
      </c>
      <c r="V186" t="s">
        <v>2556</v>
      </c>
      <c r="W186" t="s">
        <v>2557</v>
      </c>
      <c r="X186" t="s">
        <v>2558</v>
      </c>
      <c r="Y186" t="s">
        <v>781</v>
      </c>
      <c r="Z186" t="s">
        <v>2559</v>
      </c>
      <c r="AA186" t="s">
        <v>2560</v>
      </c>
      <c r="AB186" t="s">
        <v>2561</v>
      </c>
      <c r="AC186" t="s">
        <v>74</v>
      </c>
      <c r="AD186" t="s">
        <v>74</v>
      </c>
      <c r="AE186" t="s">
        <v>74</v>
      </c>
      <c r="AF186" t="s">
        <v>74</v>
      </c>
      <c r="AG186">
        <v>93</v>
      </c>
      <c r="AH186">
        <v>107</v>
      </c>
      <c r="AI186">
        <v>114</v>
      </c>
      <c r="AJ186">
        <v>0</v>
      </c>
      <c r="AK186">
        <v>33</v>
      </c>
      <c r="AL186" t="s">
        <v>1147</v>
      </c>
      <c r="AM186" t="s">
        <v>1148</v>
      </c>
      <c r="AN186" t="s">
        <v>1149</v>
      </c>
      <c r="AO186" t="s">
        <v>2562</v>
      </c>
      <c r="AP186" t="s">
        <v>2563</v>
      </c>
      <c r="AQ186" t="s">
        <v>74</v>
      </c>
      <c r="AR186" t="s">
        <v>2564</v>
      </c>
      <c r="AS186" t="s">
        <v>2565</v>
      </c>
      <c r="AT186" t="s">
        <v>566</v>
      </c>
      <c r="AU186">
        <v>2003</v>
      </c>
      <c r="AV186">
        <v>72</v>
      </c>
      <c r="AW186">
        <v>1</v>
      </c>
      <c r="AX186" t="s">
        <v>74</v>
      </c>
      <c r="AY186" t="s">
        <v>74</v>
      </c>
      <c r="AZ186" t="s">
        <v>74</v>
      </c>
      <c r="BA186" t="s">
        <v>74</v>
      </c>
      <c r="BB186">
        <v>61</v>
      </c>
      <c r="BC186">
        <v>74</v>
      </c>
      <c r="BD186" t="s">
        <v>74</v>
      </c>
      <c r="BE186" t="s">
        <v>2566</v>
      </c>
      <c r="BF186" t="str">
        <f>HYPERLINK("http://dx.doi.org/10.1046/j.1365-2656.2003.00685.x","http://dx.doi.org/10.1046/j.1365-2656.2003.00685.x")</f>
        <v>http://dx.doi.org/10.1046/j.1365-2656.2003.00685.x</v>
      </c>
      <c r="BG186" t="s">
        <v>74</v>
      </c>
      <c r="BH186" t="s">
        <v>74</v>
      </c>
      <c r="BI186">
        <v>14</v>
      </c>
      <c r="BJ186" t="s">
        <v>2567</v>
      </c>
      <c r="BK186" t="s">
        <v>569</v>
      </c>
      <c r="BL186" t="s">
        <v>2568</v>
      </c>
      <c r="BM186" t="s">
        <v>2569</v>
      </c>
      <c r="BN186" t="s">
        <v>74</v>
      </c>
      <c r="BO186" t="s">
        <v>572</v>
      </c>
      <c r="BP186" t="s">
        <v>74</v>
      </c>
      <c r="BQ186" t="s">
        <v>74</v>
      </c>
      <c r="BR186" t="s">
        <v>98</v>
      </c>
      <c r="BS186" t="s">
        <v>2570</v>
      </c>
      <c r="BT186" t="str">
        <f>HYPERLINK("https%3A%2F%2Fwww.webofscience.com%2Fwos%2Fwoscc%2Ffull-record%2FWOS:000180926600006","View Full Record in Web of Science")</f>
        <v>View Full Record in Web of Science</v>
      </c>
    </row>
    <row r="187" spans="1:72" x14ac:dyDescent="0.15">
      <c r="A187" t="s">
        <v>552</v>
      </c>
      <c r="B187" t="s">
        <v>2571</v>
      </c>
      <c r="C187" t="s">
        <v>74</v>
      </c>
      <c r="D187" t="s">
        <v>74</v>
      </c>
      <c r="E187" t="s">
        <v>74</v>
      </c>
      <c r="F187" t="s">
        <v>2571</v>
      </c>
      <c r="G187" t="s">
        <v>74</v>
      </c>
      <c r="H187" t="s">
        <v>74</v>
      </c>
      <c r="I187" t="s">
        <v>2572</v>
      </c>
      <c r="J187" t="s">
        <v>2573</v>
      </c>
      <c r="K187" t="s">
        <v>74</v>
      </c>
      <c r="L187" t="s">
        <v>74</v>
      </c>
      <c r="M187" t="s">
        <v>78</v>
      </c>
      <c r="N187" t="s">
        <v>775</v>
      </c>
      <c r="O187" t="s">
        <v>74</v>
      </c>
      <c r="P187" t="s">
        <v>74</v>
      </c>
      <c r="Q187" t="s">
        <v>74</v>
      </c>
      <c r="R187" t="s">
        <v>74</v>
      </c>
      <c r="S187" t="s">
        <v>74</v>
      </c>
      <c r="T187" t="s">
        <v>2574</v>
      </c>
      <c r="U187" t="s">
        <v>2575</v>
      </c>
      <c r="V187" t="s">
        <v>2576</v>
      </c>
      <c r="W187" t="s">
        <v>2577</v>
      </c>
      <c r="X187" t="s">
        <v>698</v>
      </c>
      <c r="Y187" t="s">
        <v>2578</v>
      </c>
      <c r="Z187" t="s">
        <v>74</v>
      </c>
      <c r="AA187" t="s">
        <v>2579</v>
      </c>
      <c r="AB187" t="s">
        <v>2580</v>
      </c>
      <c r="AC187" t="s">
        <v>74</v>
      </c>
      <c r="AD187" t="s">
        <v>74</v>
      </c>
      <c r="AE187" t="s">
        <v>74</v>
      </c>
      <c r="AF187" t="s">
        <v>74</v>
      </c>
      <c r="AG187">
        <v>35</v>
      </c>
      <c r="AH187">
        <v>60</v>
      </c>
      <c r="AI187">
        <v>71</v>
      </c>
      <c r="AJ187">
        <v>0</v>
      </c>
      <c r="AK187">
        <v>15</v>
      </c>
      <c r="AL187" t="s">
        <v>2581</v>
      </c>
      <c r="AM187" t="s">
        <v>807</v>
      </c>
      <c r="AN187" t="s">
        <v>2582</v>
      </c>
      <c r="AO187" t="s">
        <v>2583</v>
      </c>
      <c r="AP187" t="s">
        <v>74</v>
      </c>
      <c r="AQ187" t="s">
        <v>74</v>
      </c>
      <c r="AR187" t="s">
        <v>2584</v>
      </c>
      <c r="AS187" t="s">
        <v>2585</v>
      </c>
      <c r="AT187" t="s">
        <v>74</v>
      </c>
      <c r="AU187">
        <v>2003</v>
      </c>
      <c r="AV187">
        <v>95</v>
      </c>
      <c r="AW187">
        <v>5</v>
      </c>
      <c r="AX187" t="s">
        <v>74</v>
      </c>
      <c r="AY187" t="s">
        <v>74</v>
      </c>
      <c r="AZ187" t="s">
        <v>74</v>
      </c>
      <c r="BA187" t="s">
        <v>74</v>
      </c>
      <c r="BB187">
        <v>1124</v>
      </c>
      <c r="BC187">
        <v>1133</v>
      </c>
      <c r="BD187" t="s">
        <v>74</v>
      </c>
      <c r="BE187" t="s">
        <v>2586</v>
      </c>
      <c r="BF187" t="str">
        <f>HYPERLINK("http://dx.doi.org/10.1046/j.1365-2672.2003.02077.x","http://dx.doi.org/10.1046/j.1365-2672.2003.02077.x")</f>
        <v>http://dx.doi.org/10.1046/j.1365-2672.2003.02077.x</v>
      </c>
      <c r="BG187" t="s">
        <v>74</v>
      </c>
      <c r="BH187" t="s">
        <v>74</v>
      </c>
      <c r="BI187">
        <v>10</v>
      </c>
      <c r="BJ187" t="s">
        <v>2587</v>
      </c>
      <c r="BK187" t="s">
        <v>569</v>
      </c>
      <c r="BL187" t="s">
        <v>2587</v>
      </c>
      <c r="BM187" t="s">
        <v>2588</v>
      </c>
      <c r="BN187">
        <v>14633042</v>
      </c>
      <c r="BO187" t="s">
        <v>74</v>
      </c>
      <c r="BP187" t="s">
        <v>74</v>
      </c>
      <c r="BQ187" t="s">
        <v>74</v>
      </c>
      <c r="BR187" t="s">
        <v>98</v>
      </c>
      <c r="BS187" t="s">
        <v>2589</v>
      </c>
      <c r="BT187" t="str">
        <f>HYPERLINK("https%3A%2F%2Fwww.webofscience.com%2Fwos%2Fwoscc%2Ffull-record%2FWOS:000185875500026","View Full Record in Web of Science")</f>
        <v>View Full Record in Web of Science</v>
      </c>
    </row>
    <row r="188" spans="1:72" x14ac:dyDescent="0.15">
      <c r="A188" t="s">
        <v>552</v>
      </c>
      <c r="B188" t="s">
        <v>2590</v>
      </c>
      <c r="C188" t="s">
        <v>74</v>
      </c>
      <c r="D188" t="s">
        <v>74</v>
      </c>
      <c r="E188" t="s">
        <v>74</v>
      </c>
      <c r="F188" t="s">
        <v>2590</v>
      </c>
      <c r="G188" t="s">
        <v>74</v>
      </c>
      <c r="H188" t="s">
        <v>74</v>
      </c>
      <c r="I188" t="s">
        <v>2591</v>
      </c>
      <c r="J188" t="s">
        <v>2592</v>
      </c>
      <c r="K188" t="s">
        <v>74</v>
      </c>
      <c r="L188" t="s">
        <v>74</v>
      </c>
      <c r="M188" t="s">
        <v>78</v>
      </c>
      <c r="N188" t="s">
        <v>556</v>
      </c>
      <c r="O188" t="s">
        <v>74</v>
      </c>
      <c r="P188" t="s">
        <v>74</v>
      </c>
      <c r="Q188" t="s">
        <v>74</v>
      </c>
      <c r="R188" t="s">
        <v>74</v>
      </c>
      <c r="S188" t="s">
        <v>74</v>
      </c>
      <c r="T188" t="s">
        <v>74</v>
      </c>
      <c r="U188" t="s">
        <v>74</v>
      </c>
      <c r="V188" t="s">
        <v>2593</v>
      </c>
      <c r="W188" t="s">
        <v>238</v>
      </c>
      <c r="X188" t="s">
        <v>239</v>
      </c>
      <c r="Y188" t="s">
        <v>2594</v>
      </c>
      <c r="Z188" t="s">
        <v>74</v>
      </c>
      <c r="AA188" t="s">
        <v>2595</v>
      </c>
      <c r="AB188" t="s">
        <v>2596</v>
      </c>
      <c r="AC188" t="s">
        <v>74</v>
      </c>
      <c r="AD188" t="s">
        <v>74</v>
      </c>
      <c r="AE188" t="s">
        <v>74</v>
      </c>
      <c r="AF188" t="s">
        <v>74</v>
      </c>
      <c r="AG188">
        <v>9</v>
      </c>
      <c r="AH188">
        <v>12</v>
      </c>
      <c r="AI188">
        <v>12</v>
      </c>
      <c r="AJ188">
        <v>0</v>
      </c>
      <c r="AK188">
        <v>3</v>
      </c>
      <c r="AL188" t="s">
        <v>2189</v>
      </c>
      <c r="AM188" t="s">
        <v>2190</v>
      </c>
      <c r="AN188" t="s">
        <v>2597</v>
      </c>
      <c r="AO188" t="s">
        <v>2598</v>
      </c>
      <c r="AP188" t="s">
        <v>74</v>
      </c>
      <c r="AQ188" t="s">
        <v>74</v>
      </c>
      <c r="AR188" t="s">
        <v>2599</v>
      </c>
      <c r="AS188" t="s">
        <v>2600</v>
      </c>
      <c r="AT188" t="s">
        <v>2019</v>
      </c>
      <c r="AU188">
        <v>2003</v>
      </c>
      <c r="AV188">
        <v>93</v>
      </c>
      <c r="AW188">
        <v>1</v>
      </c>
      <c r="AX188" t="s">
        <v>74</v>
      </c>
      <c r="AY188" t="s">
        <v>74</v>
      </c>
      <c r="AZ188" t="s">
        <v>74</v>
      </c>
      <c r="BA188" t="s">
        <v>74</v>
      </c>
      <c r="BB188">
        <v>783</v>
      </c>
      <c r="BC188">
        <v>785</v>
      </c>
      <c r="BD188" t="s">
        <v>74</v>
      </c>
      <c r="BE188" t="s">
        <v>2601</v>
      </c>
      <c r="BF188" t="str">
        <f>HYPERLINK("http://dx.doi.org/10.1063/1.1521800","http://dx.doi.org/10.1063/1.1521800")</f>
        <v>http://dx.doi.org/10.1063/1.1521800</v>
      </c>
      <c r="BG188" t="s">
        <v>74</v>
      </c>
      <c r="BH188" t="s">
        <v>74</v>
      </c>
      <c r="BI188">
        <v>3</v>
      </c>
      <c r="BJ188" t="s">
        <v>2602</v>
      </c>
      <c r="BK188" t="s">
        <v>569</v>
      </c>
      <c r="BL188" t="s">
        <v>1376</v>
      </c>
      <c r="BM188" t="s">
        <v>2603</v>
      </c>
      <c r="BN188" t="s">
        <v>74</v>
      </c>
      <c r="BO188" t="s">
        <v>572</v>
      </c>
      <c r="BP188" t="s">
        <v>74</v>
      </c>
      <c r="BQ188" t="s">
        <v>74</v>
      </c>
      <c r="BR188" t="s">
        <v>98</v>
      </c>
      <c r="BS188" t="s">
        <v>2604</v>
      </c>
      <c r="BT188" t="str">
        <f>HYPERLINK("https%3A%2F%2Fwww.webofscience.com%2Fwos%2Fwoscc%2Ffull-record%2FWOS:000180002500124","View Full Record in Web of Science")</f>
        <v>View Full Record in Web of Science</v>
      </c>
    </row>
    <row r="189" spans="1:72" x14ac:dyDescent="0.15">
      <c r="A189" t="s">
        <v>552</v>
      </c>
      <c r="B189" t="s">
        <v>2605</v>
      </c>
      <c r="C189" t="s">
        <v>74</v>
      </c>
      <c r="D189" t="s">
        <v>74</v>
      </c>
      <c r="E189" t="s">
        <v>74</v>
      </c>
      <c r="F189" t="s">
        <v>2605</v>
      </c>
      <c r="G189" t="s">
        <v>74</v>
      </c>
      <c r="H189" t="s">
        <v>74</v>
      </c>
      <c r="I189" t="s">
        <v>2606</v>
      </c>
      <c r="J189" t="s">
        <v>2607</v>
      </c>
      <c r="K189" t="s">
        <v>74</v>
      </c>
      <c r="L189" t="s">
        <v>74</v>
      </c>
      <c r="M189" t="s">
        <v>78</v>
      </c>
      <c r="N189" t="s">
        <v>775</v>
      </c>
      <c r="O189" t="s">
        <v>74</v>
      </c>
      <c r="P189" t="s">
        <v>74</v>
      </c>
      <c r="Q189" t="s">
        <v>74</v>
      </c>
      <c r="R189" t="s">
        <v>74</v>
      </c>
      <c r="S189" t="s">
        <v>74</v>
      </c>
      <c r="T189" t="s">
        <v>2608</v>
      </c>
      <c r="U189" t="s">
        <v>2609</v>
      </c>
      <c r="V189" t="s">
        <v>2610</v>
      </c>
      <c r="W189" t="s">
        <v>2611</v>
      </c>
      <c r="X189" t="s">
        <v>2612</v>
      </c>
      <c r="Y189" t="s">
        <v>2613</v>
      </c>
      <c r="Z189" t="s">
        <v>74</v>
      </c>
      <c r="AA189" t="s">
        <v>74</v>
      </c>
      <c r="AB189" t="s">
        <v>74</v>
      </c>
      <c r="AC189" t="s">
        <v>74</v>
      </c>
      <c r="AD189" t="s">
        <v>74</v>
      </c>
      <c r="AE189" t="s">
        <v>74</v>
      </c>
      <c r="AF189" t="s">
        <v>74</v>
      </c>
      <c r="AG189">
        <v>39</v>
      </c>
      <c r="AH189">
        <v>21</v>
      </c>
      <c r="AI189">
        <v>21</v>
      </c>
      <c r="AJ189">
        <v>1</v>
      </c>
      <c r="AK189">
        <v>7</v>
      </c>
      <c r="AL189" t="s">
        <v>2614</v>
      </c>
      <c r="AM189" t="s">
        <v>2209</v>
      </c>
      <c r="AN189" t="s">
        <v>2615</v>
      </c>
      <c r="AO189" t="s">
        <v>2616</v>
      </c>
      <c r="AP189" t="s">
        <v>74</v>
      </c>
      <c r="AQ189" t="s">
        <v>74</v>
      </c>
      <c r="AR189" t="s">
        <v>2617</v>
      </c>
      <c r="AS189" t="s">
        <v>2618</v>
      </c>
      <c r="AT189" t="s">
        <v>566</v>
      </c>
      <c r="AU189">
        <v>2003</v>
      </c>
      <c r="AV189">
        <v>133</v>
      </c>
      <c r="AW189">
        <v>1</v>
      </c>
      <c r="AX189" t="s">
        <v>74</v>
      </c>
      <c r="AY189" t="s">
        <v>74</v>
      </c>
      <c r="AZ189" t="s">
        <v>74</v>
      </c>
      <c r="BA189" t="s">
        <v>74</v>
      </c>
      <c r="BB189">
        <v>51</v>
      </c>
      <c r="BC189">
        <v>58</v>
      </c>
      <c r="BD189" t="s">
        <v>74</v>
      </c>
      <c r="BE189" t="s">
        <v>2619</v>
      </c>
      <c r="BF189" t="str">
        <f>HYPERLINK("http://dx.doi.org/10.1093/jb/mvg012","http://dx.doi.org/10.1093/jb/mvg012")</f>
        <v>http://dx.doi.org/10.1093/jb/mvg012</v>
      </c>
      <c r="BG189" t="s">
        <v>74</v>
      </c>
      <c r="BH189" t="s">
        <v>74</v>
      </c>
      <c r="BI189">
        <v>8</v>
      </c>
      <c r="BJ189" t="s">
        <v>2171</v>
      </c>
      <c r="BK189" t="s">
        <v>569</v>
      </c>
      <c r="BL189" t="s">
        <v>2171</v>
      </c>
      <c r="BM189" t="s">
        <v>2620</v>
      </c>
      <c r="BN189">
        <v>12761198</v>
      </c>
      <c r="BO189" t="s">
        <v>74</v>
      </c>
      <c r="BP189" t="s">
        <v>74</v>
      </c>
      <c r="BQ189" t="s">
        <v>74</v>
      </c>
      <c r="BR189" t="s">
        <v>98</v>
      </c>
      <c r="BS189" t="s">
        <v>2621</v>
      </c>
      <c r="BT189" t="str">
        <f>HYPERLINK("https%3A%2F%2Fwww.webofscience.com%2Fwos%2Fwoscc%2Ffull-record%2FWOS:000180965100007","View Full Record in Web of Science")</f>
        <v>View Full Record in Web of Science</v>
      </c>
    </row>
    <row r="190" spans="1:72" x14ac:dyDescent="0.15">
      <c r="A190" t="s">
        <v>552</v>
      </c>
      <c r="B190" t="s">
        <v>2622</v>
      </c>
      <c r="C190" t="s">
        <v>74</v>
      </c>
      <c r="D190" t="s">
        <v>74</v>
      </c>
      <c r="E190" t="s">
        <v>74</v>
      </c>
      <c r="F190" t="s">
        <v>2622</v>
      </c>
      <c r="G190" t="s">
        <v>74</v>
      </c>
      <c r="H190" t="s">
        <v>74</v>
      </c>
      <c r="I190" t="s">
        <v>2623</v>
      </c>
      <c r="J190" t="s">
        <v>2624</v>
      </c>
      <c r="K190" t="s">
        <v>74</v>
      </c>
      <c r="L190" t="s">
        <v>74</v>
      </c>
      <c r="M190" t="s">
        <v>78</v>
      </c>
      <c r="N190" t="s">
        <v>775</v>
      </c>
      <c r="O190" t="s">
        <v>74</v>
      </c>
      <c r="P190" t="s">
        <v>74</v>
      </c>
      <c r="Q190" t="s">
        <v>74</v>
      </c>
      <c r="R190" t="s">
        <v>74</v>
      </c>
      <c r="S190" t="s">
        <v>74</v>
      </c>
      <c r="T190" t="s">
        <v>74</v>
      </c>
      <c r="U190" t="s">
        <v>2625</v>
      </c>
      <c r="V190" t="s">
        <v>74</v>
      </c>
      <c r="W190" t="s">
        <v>2626</v>
      </c>
      <c r="X190" t="s">
        <v>2627</v>
      </c>
      <c r="Y190" t="s">
        <v>2628</v>
      </c>
      <c r="Z190" t="s">
        <v>74</v>
      </c>
      <c r="AA190" t="s">
        <v>2629</v>
      </c>
      <c r="AB190" t="s">
        <v>2630</v>
      </c>
      <c r="AC190" t="s">
        <v>2631</v>
      </c>
      <c r="AD190" t="s">
        <v>2632</v>
      </c>
      <c r="AE190" t="s">
        <v>74</v>
      </c>
      <c r="AF190" t="s">
        <v>74</v>
      </c>
      <c r="AG190">
        <v>38</v>
      </c>
      <c r="AH190">
        <v>16</v>
      </c>
      <c r="AI190">
        <v>16</v>
      </c>
      <c r="AJ190">
        <v>0</v>
      </c>
      <c r="AK190">
        <v>2</v>
      </c>
      <c r="AL190" t="s">
        <v>2633</v>
      </c>
      <c r="AM190" t="s">
        <v>2634</v>
      </c>
      <c r="AN190" t="s">
        <v>2635</v>
      </c>
      <c r="AO190" t="s">
        <v>2636</v>
      </c>
      <c r="AP190" t="s">
        <v>74</v>
      </c>
      <c r="AQ190" t="s">
        <v>74</v>
      </c>
      <c r="AR190" t="s">
        <v>2637</v>
      </c>
      <c r="AS190" t="s">
        <v>2638</v>
      </c>
      <c r="AT190" t="s">
        <v>74</v>
      </c>
      <c r="AU190">
        <v>2003</v>
      </c>
      <c r="AV190">
        <v>25</v>
      </c>
      <c r="AW190" t="s">
        <v>74</v>
      </c>
      <c r="AX190">
        <v>2</v>
      </c>
      <c r="AY190" t="s">
        <v>74</v>
      </c>
      <c r="AZ190" t="s">
        <v>74</v>
      </c>
      <c r="BA190" t="s">
        <v>74</v>
      </c>
      <c r="BB190">
        <v>141</v>
      </c>
      <c r="BC190">
        <v>144</v>
      </c>
      <c r="BD190" t="s">
        <v>74</v>
      </c>
      <c r="BE190" t="s">
        <v>2639</v>
      </c>
      <c r="BF190" t="str">
        <f>HYPERLINK("http://dx.doi.org/10.1179/03736680325001832","http://dx.doi.org/10.1179/03736680325001832")</f>
        <v>http://dx.doi.org/10.1179/03736680325001832</v>
      </c>
      <c r="BG190" t="s">
        <v>74</v>
      </c>
      <c r="BH190" t="s">
        <v>74</v>
      </c>
      <c r="BI190">
        <v>4</v>
      </c>
      <c r="BJ190" t="s">
        <v>2326</v>
      </c>
      <c r="BK190" t="s">
        <v>569</v>
      </c>
      <c r="BL190" t="s">
        <v>2326</v>
      </c>
      <c r="BM190" t="s">
        <v>2640</v>
      </c>
      <c r="BN190" t="s">
        <v>74</v>
      </c>
      <c r="BO190" t="s">
        <v>74</v>
      </c>
      <c r="BP190" t="s">
        <v>74</v>
      </c>
      <c r="BQ190" t="s">
        <v>74</v>
      </c>
      <c r="BR190" t="s">
        <v>98</v>
      </c>
      <c r="BS190" t="s">
        <v>2641</v>
      </c>
      <c r="BT190" t="str">
        <f>HYPERLINK("https%3A%2F%2Fwww.webofscience.com%2Fwos%2Fwoscc%2Ffull-record%2FWOS:000184244500011","View Full Record in Web of Science")</f>
        <v>View Full Record in Web of Science</v>
      </c>
    </row>
    <row r="191" spans="1:72" x14ac:dyDescent="0.15">
      <c r="A191" t="s">
        <v>552</v>
      </c>
      <c r="B191" t="s">
        <v>2642</v>
      </c>
      <c r="C191" t="s">
        <v>74</v>
      </c>
      <c r="D191" t="s">
        <v>74</v>
      </c>
      <c r="E191" t="s">
        <v>74</v>
      </c>
      <c r="F191" t="s">
        <v>2642</v>
      </c>
      <c r="G191" t="s">
        <v>74</v>
      </c>
      <c r="H191" t="s">
        <v>74</v>
      </c>
      <c r="I191" t="s">
        <v>2643</v>
      </c>
      <c r="J191" t="s">
        <v>2644</v>
      </c>
      <c r="K191" t="s">
        <v>74</v>
      </c>
      <c r="L191" t="s">
        <v>74</v>
      </c>
      <c r="M191" t="s">
        <v>78</v>
      </c>
      <c r="N191" t="s">
        <v>775</v>
      </c>
      <c r="O191" t="s">
        <v>74</v>
      </c>
      <c r="P191" t="s">
        <v>74</v>
      </c>
      <c r="Q191" t="s">
        <v>74</v>
      </c>
      <c r="R191" t="s">
        <v>74</v>
      </c>
      <c r="S191" t="s">
        <v>74</v>
      </c>
      <c r="T191" t="s">
        <v>74</v>
      </c>
      <c r="U191" t="s">
        <v>2645</v>
      </c>
      <c r="V191" t="s">
        <v>2646</v>
      </c>
      <c r="W191" t="s">
        <v>2647</v>
      </c>
      <c r="X191" t="s">
        <v>2648</v>
      </c>
      <c r="Y191" t="s">
        <v>2649</v>
      </c>
      <c r="Z191" t="s">
        <v>74</v>
      </c>
      <c r="AA191" t="s">
        <v>2650</v>
      </c>
      <c r="AB191" t="s">
        <v>2651</v>
      </c>
      <c r="AC191" t="s">
        <v>74</v>
      </c>
      <c r="AD191" t="s">
        <v>74</v>
      </c>
      <c r="AE191" t="s">
        <v>74</v>
      </c>
      <c r="AF191" t="s">
        <v>74</v>
      </c>
      <c r="AG191">
        <v>28</v>
      </c>
      <c r="AH191">
        <v>35</v>
      </c>
      <c r="AI191">
        <v>39</v>
      </c>
      <c r="AJ191">
        <v>0</v>
      </c>
      <c r="AK191">
        <v>9</v>
      </c>
      <c r="AL191" t="s">
        <v>2652</v>
      </c>
      <c r="AM191" t="s">
        <v>2653</v>
      </c>
      <c r="AN191" t="s">
        <v>2654</v>
      </c>
      <c r="AO191" t="s">
        <v>2655</v>
      </c>
      <c r="AP191" t="s">
        <v>74</v>
      </c>
      <c r="AQ191" t="s">
        <v>74</v>
      </c>
      <c r="AR191" t="s">
        <v>2656</v>
      </c>
      <c r="AS191" t="s">
        <v>2657</v>
      </c>
      <c r="AT191" t="s">
        <v>566</v>
      </c>
      <c r="AU191">
        <v>2003</v>
      </c>
      <c r="AV191">
        <v>16</v>
      </c>
      <c r="AW191">
        <v>1</v>
      </c>
      <c r="AX191" t="s">
        <v>74</v>
      </c>
      <c r="AY191" t="s">
        <v>74</v>
      </c>
      <c r="AZ191" t="s">
        <v>74</v>
      </c>
      <c r="BA191" t="s">
        <v>74</v>
      </c>
      <c r="BB191">
        <v>156</v>
      </c>
      <c r="BC191">
        <v>166</v>
      </c>
      <c r="BD191" t="s">
        <v>74</v>
      </c>
      <c r="BE191" t="s">
        <v>2658</v>
      </c>
      <c r="BF191" t="str">
        <f>HYPERLINK("http://dx.doi.org/10.1175/1520-0442(2003)016&lt;0156:COOTAS&gt;2.0.CO;2","http://dx.doi.org/10.1175/1520-0442(2003)016&lt;0156:COOTAS&gt;2.0.CO;2")</f>
        <v>http://dx.doi.org/10.1175/1520-0442(2003)016&lt;0156:COOTAS&gt;2.0.CO;2</v>
      </c>
      <c r="BG191" t="s">
        <v>74</v>
      </c>
      <c r="BH191" t="s">
        <v>74</v>
      </c>
      <c r="BI191">
        <v>11</v>
      </c>
      <c r="BJ191" t="s">
        <v>1237</v>
      </c>
      <c r="BK191" t="s">
        <v>569</v>
      </c>
      <c r="BL191" t="s">
        <v>1237</v>
      </c>
      <c r="BM191" t="s">
        <v>2659</v>
      </c>
      <c r="BN191" t="s">
        <v>74</v>
      </c>
      <c r="BO191" t="s">
        <v>2660</v>
      </c>
      <c r="BP191" t="s">
        <v>74</v>
      </c>
      <c r="BQ191" t="s">
        <v>74</v>
      </c>
      <c r="BR191" t="s">
        <v>98</v>
      </c>
      <c r="BS191" t="s">
        <v>2661</v>
      </c>
      <c r="BT191" t="str">
        <f>HYPERLINK("https%3A%2F%2Fwww.webofscience.com%2Fwos%2Fwoscc%2Ffull-record%2FWOS:000180200200011","View Full Record in Web of Science")</f>
        <v>View Full Record in Web of Science</v>
      </c>
    </row>
    <row r="192" spans="1:72" x14ac:dyDescent="0.15">
      <c r="A192" t="s">
        <v>552</v>
      </c>
      <c r="B192" t="s">
        <v>2662</v>
      </c>
      <c r="C192" t="s">
        <v>74</v>
      </c>
      <c r="D192" t="s">
        <v>74</v>
      </c>
      <c r="E192" t="s">
        <v>74</v>
      </c>
      <c r="F192" t="s">
        <v>2662</v>
      </c>
      <c r="G192" t="s">
        <v>74</v>
      </c>
      <c r="H192" t="s">
        <v>74</v>
      </c>
      <c r="I192" t="s">
        <v>2663</v>
      </c>
      <c r="J192" t="s">
        <v>2644</v>
      </c>
      <c r="K192" t="s">
        <v>74</v>
      </c>
      <c r="L192" t="s">
        <v>74</v>
      </c>
      <c r="M192" t="s">
        <v>78</v>
      </c>
      <c r="N192" t="s">
        <v>775</v>
      </c>
      <c r="O192" t="s">
        <v>74</v>
      </c>
      <c r="P192" t="s">
        <v>74</v>
      </c>
      <c r="Q192" t="s">
        <v>74</v>
      </c>
      <c r="R192" t="s">
        <v>74</v>
      </c>
      <c r="S192" t="s">
        <v>74</v>
      </c>
      <c r="T192" t="s">
        <v>74</v>
      </c>
      <c r="U192" t="s">
        <v>2664</v>
      </c>
      <c r="V192" t="s">
        <v>2665</v>
      </c>
      <c r="W192" t="s">
        <v>2666</v>
      </c>
      <c r="X192" t="s">
        <v>2667</v>
      </c>
      <c r="Y192" t="s">
        <v>2668</v>
      </c>
      <c r="Z192" t="s">
        <v>74</v>
      </c>
      <c r="AA192" t="s">
        <v>2669</v>
      </c>
      <c r="AB192" t="s">
        <v>2670</v>
      </c>
      <c r="AC192" t="s">
        <v>74</v>
      </c>
      <c r="AD192" t="s">
        <v>74</v>
      </c>
      <c r="AE192" t="s">
        <v>74</v>
      </c>
      <c r="AF192" t="s">
        <v>74</v>
      </c>
      <c r="AG192">
        <v>39</v>
      </c>
      <c r="AH192">
        <v>921</v>
      </c>
      <c r="AI192">
        <v>1039</v>
      </c>
      <c r="AJ192">
        <v>1</v>
      </c>
      <c r="AK192">
        <v>138</v>
      </c>
      <c r="AL192" t="s">
        <v>2652</v>
      </c>
      <c r="AM192" t="s">
        <v>2653</v>
      </c>
      <c r="AN192" t="s">
        <v>2654</v>
      </c>
      <c r="AO192" t="s">
        <v>2655</v>
      </c>
      <c r="AP192" t="s">
        <v>74</v>
      </c>
      <c r="AQ192" t="s">
        <v>74</v>
      </c>
      <c r="AR192" t="s">
        <v>2656</v>
      </c>
      <c r="AS192" t="s">
        <v>2657</v>
      </c>
      <c r="AT192" t="s">
        <v>566</v>
      </c>
      <c r="AU192">
        <v>2003</v>
      </c>
      <c r="AV192">
        <v>16</v>
      </c>
      <c r="AW192">
        <v>2</v>
      </c>
      <c r="AX192" t="s">
        <v>74</v>
      </c>
      <c r="AY192" t="s">
        <v>74</v>
      </c>
      <c r="AZ192" t="s">
        <v>74</v>
      </c>
      <c r="BA192" t="s">
        <v>74</v>
      </c>
      <c r="BB192">
        <v>206</v>
      </c>
      <c r="BC192">
        <v>223</v>
      </c>
      <c r="BD192" t="s">
        <v>74</v>
      </c>
      <c r="BE192" t="s">
        <v>2671</v>
      </c>
      <c r="BF192" t="str">
        <f>HYPERLINK("http://dx.doi.org/10.1175/1520-0442(2003)016&lt;0206:HALSSA&gt;2.0.CO;2","http://dx.doi.org/10.1175/1520-0442(2003)016&lt;0206:HALSSA&gt;2.0.CO;2")</f>
        <v>http://dx.doi.org/10.1175/1520-0442(2003)016&lt;0206:HALSSA&gt;2.0.CO;2</v>
      </c>
      <c r="BG192" t="s">
        <v>74</v>
      </c>
      <c r="BH192" t="s">
        <v>74</v>
      </c>
      <c r="BI192">
        <v>18</v>
      </c>
      <c r="BJ192" t="s">
        <v>1237</v>
      </c>
      <c r="BK192" t="s">
        <v>569</v>
      </c>
      <c r="BL192" t="s">
        <v>1237</v>
      </c>
      <c r="BM192" t="s">
        <v>2672</v>
      </c>
      <c r="BN192" t="s">
        <v>74</v>
      </c>
      <c r="BO192" t="s">
        <v>74</v>
      </c>
      <c r="BP192" t="s">
        <v>74</v>
      </c>
      <c r="BQ192" t="s">
        <v>74</v>
      </c>
      <c r="BR192" t="s">
        <v>98</v>
      </c>
      <c r="BS192" t="s">
        <v>2673</v>
      </c>
      <c r="BT192" t="str">
        <f>HYPERLINK("https%3A%2F%2Fwww.webofscience.com%2Fwos%2Fwoscc%2Ffull-record%2FWOS:000180395900002","View Full Record in Web of Science")</f>
        <v>View Full Record in Web of Science</v>
      </c>
    </row>
    <row r="193" spans="1:72" x14ac:dyDescent="0.15">
      <c r="A193" t="s">
        <v>552</v>
      </c>
      <c r="B193" t="s">
        <v>2674</v>
      </c>
      <c r="C193" t="s">
        <v>74</v>
      </c>
      <c r="D193" t="s">
        <v>74</v>
      </c>
      <c r="E193" t="s">
        <v>74</v>
      </c>
      <c r="F193" t="s">
        <v>2674</v>
      </c>
      <c r="G193" t="s">
        <v>74</v>
      </c>
      <c r="H193" t="s">
        <v>74</v>
      </c>
      <c r="I193" t="s">
        <v>2675</v>
      </c>
      <c r="J193" t="s">
        <v>2644</v>
      </c>
      <c r="K193" t="s">
        <v>74</v>
      </c>
      <c r="L193" t="s">
        <v>74</v>
      </c>
      <c r="M193" t="s">
        <v>78</v>
      </c>
      <c r="N193" t="s">
        <v>775</v>
      </c>
      <c r="O193" t="s">
        <v>74</v>
      </c>
      <c r="P193" t="s">
        <v>74</v>
      </c>
      <c r="Q193" t="s">
        <v>74</v>
      </c>
      <c r="R193" t="s">
        <v>74</v>
      </c>
      <c r="S193" t="s">
        <v>74</v>
      </c>
      <c r="T193" t="s">
        <v>74</v>
      </c>
      <c r="U193" t="s">
        <v>2676</v>
      </c>
      <c r="V193" t="s">
        <v>2677</v>
      </c>
      <c r="W193" t="s">
        <v>2678</v>
      </c>
      <c r="X193" t="s">
        <v>2679</v>
      </c>
      <c r="Y193" t="s">
        <v>2680</v>
      </c>
      <c r="Z193" t="s">
        <v>2681</v>
      </c>
      <c r="AA193" t="s">
        <v>2682</v>
      </c>
      <c r="AB193" t="s">
        <v>2683</v>
      </c>
      <c r="AC193" t="s">
        <v>74</v>
      </c>
      <c r="AD193" t="s">
        <v>74</v>
      </c>
      <c r="AE193" t="s">
        <v>74</v>
      </c>
      <c r="AF193" t="s">
        <v>74</v>
      </c>
      <c r="AG193">
        <v>44</v>
      </c>
      <c r="AH193">
        <v>324</v>
      </c>
      <c r="AI193">
        <v>344</v>
      </c>
      <c r="AJ193">
        <v>2</v>
      </c>
      <c r="AK193">
        <v>20</v>
      </c>
      <c r="AL193" t="s">
        <v>2652</v>
      </c>
      <c r="AM193" t="s">
        <v>2653</v>
      </c>
      <c r="AN193" t="s">
        <v>2654</v>
      </c>
      <c r="AO193" t="s">
        <v>2655</v>
      </c>
      <c r="AP193" t="s">
        <v>2684</v>
      </c>
      <c r="AQ193" t="s">
        <v>74</v>
      </c>
      <c r="AR193" t="s">
        <v>2656</v>
      </c>
      <c r="AS193" t="s">
        <v>2657</v>
      </c>
      <c r="AT193" t="s">
        <v>566</v>
      </c>
      <c r="AU193">
        <v>2003</v>
      </c>
      <c r="AV193">
        <v>16</v>
      </c>
      <c r="AW193">
        <v>2</v>
      </c>
      <c r="AX193" t="s">
        <v>74</v>
      </c>
      <c r="AY193" t="s">
        <v>74</v>
      </c>
      <c r="AZ193" t="s">
        <v>74</v>
      </c>
      <c r="BA193" t="s">
        <v>74</v>
      </c>
      <c r="BB193">
        <v>281</v>
      </c>
      <c r="BC193">
        <v>296</v>
      </c>
      <c r="BD193" t="s">
        <v>74</v>
      </c>
      <c r="BE193" t="s">
        <v>2685</v>
      </c>
      <c r="BF193" t="str">
        <f>HYPERLINK("http://dx.doi.org/10.1175/1520-0442(2003)016&lt;0281:SOTERR&gt;2.0.CO;2","http://dx.doi.org/10.1175/1520-0442(2003)016&lt;0281:SOTERR&gt;2.0.CO;2")</f>
        <v>http://dx.doi.org/10.1175/1520-0442(2003)016&lt;0281:SOTERR&gt;2.0.CO;2</v>
      </c>
      <c r="BG193" t="s">
        <v>74</v>
      </c>
      <c r="BH193" t="s">
        <v>74</v>
      </c>
      <c r="BI193">
        <v>16</v>
      </c>
      <c r="BJ193" t="s">
        <v>1237</v>
      </c>
      <c r="BK193" t="s">
        <v>569</v>
      </c>
      <c r="BL193" t="s">
        <v>1237</v>
      </c>
      <c r="BM193" t="s">
        <v>2672</v>
      </c>
      <c r="BN193" t="s">
        <v>74</v>
      </c>
      <c r="BO193" t="s">
        <v>74</v>
      </c>
      <c r="BP193" t="s">
        <v>74</v>
      </c>
      <c r="BQ193" t="s">
        <v>74</v>
      </c>
      <c r="BR193" t="s">
        <v>98</v>
      </c>
      <c r="BS193" t="s">
        <v>2686</v>
      </c>
      <c r="BT193" t="str">
        <f>HYPERLINK("https%3A%2F%2Fwww.webofscience.com%2Fwos%2Fwoscc%2Ffull-record%2FWOS:000180395900006","View Full Record in Web of Science")</f>
        <v>View Full Record in Web of Science</v>
      </c>
    </row>
    <row r="194" spans="1:72" x14ac:dyDescent="0.15">
      <c r="A194" t="s">
        <v>552</v>
      </c>
      <c r="B194" t="s">
        <v>2687</v>
      </c>
      <c r="C194" t="s">
        <v>74</v>
      </c>
      <c r="D194" t="s">
        <v>74</v>
      </c>
      <c r="E194" t="s">
        <v>74</v>
      </c>
      <c r="F194" t="s">
        <v>2687</v>
      </c>
      <c r="G194" t="s">
        <v>74</v>
      </c>
      <c r="H194" t="s">
        <v>74</v>
      </c>
      <c r="I194" t="s">
        <v>2688</v>
      </c>
      <c r="J194" t="s">
        <v>2689</v>
      </c>
      <c r="K194" t="s">
        <v>74</v>
      </c>
      <c r="L194" t="s">
        <v>74</v>
      </c>
      <c r="M194" t="s">
        <v>78</v>
      </c>
      <c r="N194" t="s">
        <v>556</v>
      </c>
      <c r="O194" t="s">
        <v>74</v>
      </c>
      <c r="P194" t="s">
        <v>74</v>
      </c>
      <c r="Q194" t="s">
        <v>74</v>
      </c>
      <c r="R194" t="s">
        <v>74</v>
      </c>
      <c r="S194" t="s">
        <v>74</v>
      </c>
      <c r="T194" t="s">
        <v>2690</v>
      </c>
      <c r="U194" t="s">
        <v>2691</v>
      </c>
      <c r="V194" t="s">
        <v>2692</v>
      </c>
      <c r="W194" t="s">
        <v>2693</v>
      </c>
      <c r="X194" t="s">
        <v>2694</v>
      </c>
      <c r="Y194" t="s">
        <v>2695</v>
      </c>
      <c r="Z194" t="s">
        <v>74</v>
      </c>
      <c r="AA194" t="s">
        <v>2696</v>
      </c>
      <c r="AB194" t="s">
        <v>2697</v>
      </c>
      <c r="AC194" t="s">
        <v>74</v>
      </c>
      <c r="AD194" t="s">
        <v>74</v>
      </c>
      <c r="AE194" t="s">
        <v>74</v>
      </c>
      <c r="AF194" t="s">
        <v>74</v>
      </c>
      <c r="AG194">
        <v>27</v>
      </c>
      <c r="AH194">
        <v>30</v>
      </c>
      <c r="AI194">
        <v>33</v>
      </c>
      <c r="AJ194">
        <v>1</v>
      </c>
      <c r="AK194">
        <v>12</v>
      </c>
      <c r="AL194" t="s">
        <v>1974</v>
      </c>
      <c r="AM194" t="s">
        <v>807</v>
      </c>
      <c r="AN194" t="s">
        <v>1975</v>
      </c>
      <c r="AO194" t="s">
        <v>2698</v>
      </c>
      <c r="AP194" t="s">
        <v>74</v>
      </c>
      <c r="AQ194" t="s">
        <v>74</v>
      </c>
      <c r="AR194" t="s">
        <v>2699</v>
      </c>
      <c r="AS194" t="s">
        <v>2700</v>
      </c>
      <c r="AT194" t="s">
        <v>74</v>
      </c>
      <c r="AU194">
        <v>2003</v>
      </c>
      <c r="AV194">
        <v>68</v>
      </c>
      <c r="AW194">
        <v>2</v>
      </c>
      <c r="AX194" t="s">
        <v>74</v>
      </c>
      <c r="AY194" t="s">
        <v>74</v>
      </c>
      <c r="AZ194" t="s">
        <v>74</v>
      </c>
      <c r="BA194" t="s">
        <v>74</v>
      </c>
      <c r="BB194">
        <v>137</v>
      </c>
      <c r="BC194">
        <v>158</v>
      </c>
      <c r="BD194" t="s">
        <v>74</v>
      </c>
      <c r="BE194" t="s">
        <v>2701</v>
      </c>
      <c r="BF194" t="str">
        <f>HYPERLINK("http://dx.doi.org/10.1016/S0265-931X(03)00055-9","http://dx.doi.org/10.1016/S0265-931X(03)00055-9")</f>
        <v>http://dx.doi.org/10.1016/S0265-931X(03)00055-9</v>
      </c>
      <c r="BG194" t="s">
        <v>74</v>
      </c>
      <c r="BH194" t="s">
        <v>74</v>
      </c>
      <c r="BI194">
        <v>22</v>
      </c>
      <c r="BJ194" t="s">
        <v>1194</v>
      </c>
      <c r="BK194" t="s">
        <v>569</v>
      </c>
      <c r="BL194" t="s">
        <v>1195</v>
      </c>
      <c r="BM194" t="s">
        <v>2702</v>
      </c>
      <c r="BN194">
        <v>12763325</v>
      </c>
      <c r="BO194" t="s">
        <v>74</v>
      </c>
      <c r="BP194" t="s">
        <v>74</v>
      </c>
      <c r="BQ194" t="s">
        <v>74</v>
      </c>
      <c r="BR194" t="s">
        <v>98</v>
      </c>
      <c r="BS194" t="s">
        <v>2703</v>
      </c>
      <c r="BT194" t="str">
        <f>HYPERLINK("https%3A%2F%2Fwww.webofscience.com%2Fwos%2Fwoscc%2Ffull-record%2FWOS:000183377600004","View Full Record in Web of Science")</f>
        <v>View Full Record in Web of Science</v>
      </c>
    </row>
    <row r="195" spans="1:72" x14ac:dyDescent="0.15">
      <c r="A195" t="s">
        <v>552</v>
      </c>
      <c r="B195" t="s">
        <v>2704</v>
      </c>
      <c r="C195" t="s">
        <v>74</v>
      </c>
      <c r="D195" t="s">
        <v>74</v>
      </c>
      <c r="E195" t="s">
        <v>74</v>
      </c>
      <c r="F195" t="s">
        <v>2704</v>
      </c>
      <c r="G195" t="s">
        <v>74</v>
      </c>
      <c r="H195" t="s">
        <v>74</v>
      </c>
      <c r="I195" t="s">
        <v>2705</v>
      </c>
      <c r="J195" t="s">
        <v>2706</v>
      </c>
      <c r="K195" t="s">
        <v>74</v>
      </c>
      <c r="L195" t="s">
        <v>74</v>
      </c>
      <c r="M195" t="s">
        <v>78</v>
      </c>
      <c r="N195" t="s">
        <v>775</v>
      </c>
      <c r="O195" t="s">
        <v>74</v>
      </c>
      <c r="P195" t="s">
        <v>74</v>
      </c>
      <c r="Q195" t="s">
        <v>74</v>
      </c>
      <c r="R195" t="s">
        <v>74</v>
      </c>
      <c r="S195" t="s">
        <v>74</v>
      </c>
      <c r="T195" t="s">
        <v>2707</v>
      </c>
      <c r="U195" t="s">
        <v>2708</v>
      </c>
      <c r="V195" t="s">
        <v>2709</v>
      </c>
      <c r="W195" t="s">
        <v>2710</v>
      </c>
      <c r="X195" t="s">
        <v>2711</v>
      </c>
      <c r="Y195" t="s">
        <v>2712</v>
      </c>
      <c r="Z195" t="s">
        <v>74</v>
      </c>
      <c r="AA195" t="s">
        <v>2713</v>
      </c>
      <c r="AB195" t="s">
        <v>2714</v>
      </c>
      <c r="AC195" t="s">
        <v>74</v>
      </c>
      <c r="AD195" t="s">
        <v>74</v>
      </c>
      <c r="AE195" t="s">
        <v>74</v>
      </c>
      <c r="AF195" t="s">
        <v>74</v>
      </c>
      <c r="AG195">
        <v>75</v>
      </c>
      <c r="AH195">
        <v>56</v>
      </c>
      <c r="AI195">
        <v>62</v>
      </c>
      <c r="AJ195">
        <v>0</v>
      </c>
      <c r="AK195">
        <v>17</v>
      </c>
      <c r="AL195" t="s">
        <v>2715</v>
      </c>
      <c r="AM195" t="s">
        <v>1168</v>
      </c>
      <c r="AN195" t="s">
        <v>2716</v>
      </c>
      <c r="AO195" t="s">
        <v>2717</v>
      </c>
      <c r="AP195" t="s">
        <v>74</v>
      </c>
      <c r="AQ195" t="s">
        <v>74</v>
      </c>
      <c r="AR195" t="s">
        <v>2718</v>
      </c>
      <c r="AS195" t="s">
        <v>2719</v>
      </c>
      <c r="AT195" t="s">
        <v>566</v>
      </c>
      <c r="AU195">
        <v>2003</v>
      </c>
      <c r="AV195">
        <v>206</v>
      </c>
      <c r="AW195">
        <v>1</v>
      </c>
      <c r="AX195" t="s">
        <v>74</v>
      </c>
      <c r="AY195" t="s">
        <v>74</v>
      </c>
      <c r="AZ195" t="s">
        <v>74</v>
      </c>
      <c r="BA195" t="s">
        <v>74</v>
      </c>
      <c r="BB195">
        <v>43</v>
      </c>
      <c r="BC195">
        <v>57</v>
      </c>
      <c r="BD195" t="s">
        <v>74</v>
      </c>
      <c r="BE195" t="s">
        <v>2720</v>
      </c>
      <c r="BF195" t="str">
        <f>HYPERLINK("http://dx.doi.org/10.1242/jeb.00059","http://dx.doi.org/10.1242/jeb.00059")</f>
        <v>http://dx.doi.org/10.1242/jeb.00059</v>
      </c>
      <c r="BG195" t="s">
        <v>74</v>
      </c>
      <c r="BH195" t="s">
        <v>74</v>
      </c>
      <c r="BI195">
        <v>15</v>
      </c>
      <c r="BJ195" t="s">
        <v>948</v>
      </c>
      <c r="BK195" t="s">
        <v>569</v>
      </c>
      <c r="BL195" t="s">
        <v>949</v>
      </c>
      <c r="BM195" t="s">
        <v>2721</v>
      </c>
      <c r="BN195">
        <v>12456696</v>
      </c>
      <c r="BO195" t="s">
        <v>794</v>
      </c>
      <c r="BP195" t="s">
        <v>74</v>
      </c>
      <c r="BQ195" t="s">
        <v>74</v>
      </c>
      <c r="BR195" t="s">
        <v>98</v>
      </c>
      <c r="BS195" t="s">
        <v>2722</v>
      </c>
      <c r="BT195" t="str">
        <f>HYPERLINK("https%3A%2F%2Fwww.webofscience.com%2Fwos%2Fwoscc%2Ffull-record%2FWOS:000180543700004","View Full Record in Web of Science")</f>
        <v>View Full Record in Web of Science</v>
      </c>
    </row>
    <row r="196" spans="1:72" x14ac:dyDescent="0.15">
      <c r="A196" t="s">
        <v>552</v>
      </c>
      <c r="B196" t="s">
        <v>2723</v>
      </c>
      <c r="C196" t="s">
        <v>74</v>
      </c>
      <c r="D196" t="s">
        <v>74</v>
      </c>
      <c r="E196" t="s">
        <v>74</v>
      </c>
      <c r="F196" t="s">
        <v>2723</v>
      </c>
      <c r="G196" t="s">
        <v>74</v>
      </c>
      <c r="H196" t="s">
        <v>74</v>
      </c>
      <c r="I196" t="s">
        <v>2724</v>
      </c>
      <c r="J196" t="s">
        <v>2706</v>
      </c>
      <c r="K196" t="s">
        <v>74</v>
      </c>
      <c r="L196" t="s">
        <v>74</v>
      </c>
      <c r="M196" t="s">
        <v>78</v>
      </c>
      <c r="N196" t="s">
        <v>775</v>
      </c>
      <c r="O196" t="s">
        <v>74</v>
      </c>
      <c r="P196" t="s">
        <v>74</v>
      </c>
      <c r="Q196" t="s">
        <v>74</v>
      </c>
      <c r="R196" t="s">
        <v>74</v>
      </c>
      <c r="S196" t="s">
        <v>74</v>
      </c>
      <c r="T196" t="s">
        <v>2725</v>
      </c>
      <c r="U196" t="s">
        <v>2726</v>
      </c>
      <c r="V196" t="s">
        <v>2727</v>
      </c>
      <c r="W196" t="s">
        <v>2728</v>
      </c>
      <c r="X196" t="s">
        <v>2729</v>
      </c>
      <c r="Y196" t="s">
        <v>2730</v>
      </c>
      <c r="Z196" t="s">
        <v>74</v>
      </c>
      <c r="AA196" t="s">
        <v>74</v>
      </c>
      <c r="AB196" t="s">
        <v>74</v>
      </c>
      <c r="AC196" t="s">
        <v>74</v>
      </c>
      <c r="AD196" t="s">
        <v>74</v>
      </c>
      <c r="AE196" t="s">
        <v>74</v>
      </c>
      <c r="AF196" t="s">
        <v>74</v>
      </c>
      <c r="AG196">
        <v>33</v>
      </c>
      <c r="AH196">
        <v>22</v>
      </c>
      <c r="AI196">
        <v>27</v>
      </c>
      <c r="AJ196">
        <v>0</v>
      </c>
      <c r="AK196">
        <v>3</v>
      </c>
      <c r="AL196" t="s">
        <v>2715</v>
      </c>
      <c r="AM196" t="s">
        <v>1168</v>
      </c>
      <c r="AN196" t="s">
        <v>2716</v>
      </c>
      <c r="AO196" t="s">
        <v>2717</v>
      </c>
      <c r="AP196" t="s">
        <v>74</v>
      </c>
      <c r="AQ196" t="s">
        <v>74</v>
      </c>
      <c r="AR196" t="s">
        <v>2718</v>
      </c>
      <c r="AS196" t="s">
        <v>2719</v>
      </c>
      <c r="AT196" t="s">
        <v>566</v>
      </c>
      <c r="AU196">
        <v>2003</v>
      </c>
      <c r="AV196">
        <v>206</v>
      </c>
      <c r="AW196">
        <v>1</v>
      </c>
      <c r="AX196" t="s">
        <v>74</v>
      </c>
      <c r="AY196" t="s">
        <v>74</v>
      </c>
      <c r="AZ196" t="s">
        <v>74</v>
      </c>
      <c r="BA196" t="s">
        <v>74</v>
      </c>
      <c r="BB196">
        <v>131</v>
      </c>
      <c r="BC196">
        <v>139</v>
      </c>
      <c r="BD196" t="s">
        <v>74</v>
      </c>
      <c r="BE196" t="s">
        <v>2731</v>
      </c>
      <c r="BF196" t="str">
        <f>HYPERLINK("http://dx.doi.org/10.1242/jeb.00067","http://dx.doi.org/10.1242/jeb.00067")</f>
        <v>http://dx.doi.org/10.1242/jeb.00067</v>
      </c>
      <c r="BG196" t="s">
        <v>74</v>
      </c>
      <c r="BH196" t="s">
        <v>74</v>
      </c>
      <c r="BI196">
        <v>9</v>
      </c>
      <c r="BJ196" t="s">
        <v>948</v>
      </c>
      <c r="BK196" t="s">
        <v>569</v>
      </c>
      <c r="BL196" t="s">
        <v>949</v>
      </c>
      <c r="BM196" t="s">
        <v>2721</v>
      </c>
      <c r="BN196">
        <v>12456703</v>
      </c>
      <c r="BO196" t="s">
        <v>794</v>
      </c>
      <c r="BP196" t="s">
        <v>74</v>
      </c>
      <c r="BQ196" t="s">
        <v>74</v>
      </c>
      <c r="BR196" t="s">
        <v>98</v>
      </c>
      <c r="BS196" t="s">
        <v>2732</v>
      </c>
      <c r="BT196" t="str">
        <f>HYPERLINK("https%3A%2F%2Fwww.webofscience.com%2Fwos%2Fwoscc%2Ffull-record%2FWOS:000180543700011","View Full Record in Web of Science")</f>
        <v>View Full Record in Web of Science</v>
      </c>
    </row>
    <row r="197" spans="1:72" x14ac:dyDescent="0.15">
      <c r="A197" t="s">
        <v>552</v>
      </c>
      <c r="B197" t="s">
        <v>2733</v>
      </c>
      <c r="C197" t="s">
        <v>74</v>
      </c>
      <c r="D197" t="s">
        <v>74</v>
      </c>
      <c r="E197" t="s">
        <v>74</v>
      </c>
      <c r="F197" t="s">
        <v>2733</v>
      </c>
      <c r="G197" t="s">
        <v>74</v>
      </c>
      <c r="H197" t="s">
        <v>74</v>
      </c>
      <c r="I197" t="s">
        <v>2734</v>
      </c>
      <c r="J197" t="s">
        <v>2706</v>
      </c>
      <c r="K197" t="s">
        <v>74</v>
      </c>
      <c r="L197" t="s">
        <v>74</v>
      </c>
      <c r="M197" t="s">
        <v>78</v>
      </c>
      <c r="N197" t="s">
        <v>775</v>
      </c>
      <c r="O197" t="s">
        <v>74</v>
      </c>
      <c r="P197" t="s">
        <v>74</v>
      </c>
      <c r="Q197" t="s">
        <v>74</v>
      </c>
      <c r="R197" t="s">
        <v>74</v>
      </c>
      <c r="S197" t="s">
        <v>74</v>
      </c>
      <c r="T197" t="s">
        <v>2735</v>
      </c>
      <c r="U197" t="s">
        <v>2736</v>
      </c>
      <c r="V197" t="s">
        <v>2737</v>
      </c>
      <c r="W197" t="s">
        <v>2738</v>
      </c>
      <c r="X197" t="s">
        <v>2739</v>
      </c>
      <c r="Y197" t="s">
        <v>2740</v>
      </c>
      <c r="Z197" t="s">
        <v>74</v>
      </c>
      <c r="AA197" t="s">
        <v>2741</v>
      </c>
      <c r="AB197" t="s">
        <v>2742</v>
      </c>
      <c r="AC197" t="s">
        <v>74</v>
      </c>
      <c r="AD197" t="s">
        <v>74</v>
      </c>
      <c r="AE197" t="s">
        <v>74</v>
      </c>
      <c r="AF197" t="s">
        <v>74</v>
      </c>
      <c r="AG197">
        <v>48</v>
      </c>
      <c r="AH197">
        <v>27</v>
      </c>
      <c r="AI197">
        <v>28</v>
      </c>
      <c r="AJ197">
        <v>0</v>
      </c>
      <c r="AK197">
        <v>5</v>
      </c>
      <c r="AL197" t="s">
        <v>2715</v>
      </c>
      <c r="AM197" t="s">
        <v>1168</v>
      </c>
      <c r="AN197" t="s">
        <v>2716</v>
      </c>
      <c r="AO197" t="s">
        <v>2717</v>
      </c>
      <c r="AP197" t="s">
        <v>74</v>
      </c>
      <c r="AQ197" t="s">
        <v>74</v>
      </c>
      <c r="AR197" t="s">
        <v>2718</v>
      </c>
      <c r="AS197" t="s">
        <v>2719</v>
      </c>
      <c r="AT197" t="s">
        <v>566</v>
      </c>
      <c r="AU197">
        <v>2003</v>
      </c>
      <c r="AV197">
        <v>206</v>
      </c>
      <c r="AW197">
        <v>1</v>
      </c>
      <c r="AX197" t="s">
        <v>74</v>
      </c>
      <c r="AY197" t="s">
        <v>74</v>
      </c>
      <c r="AZ197" t="s">
        <v>74</v>
      </c>
      <c r="BA197" t="s">
        <v>74</v>
      </c>
      <c r="BB197">
        <v>163</v>
      </c>
      <c r="BC197">
        <v>169</v>
      </c>
      <c r="BD197" t="s">
        <v>74</v>
      </c>
      <c r="BE197" t="s">
        <v>2743</v>
      </c>
      <c r="BF197" t="str">
        <f>HYPERLINK("http://dx.doi.org/10.1242/jeb.00052","http://dx.doi.org/10.1242/jeb.00052")</f>
        <v>http://dx.doi.org/10.1242/jeb.00052</v>
      </c>
      <c r="BG197" t="s">
        <v>74</v>
      </c>
      <c r="BH197" t="s">
        <v>74</v>
      </c>
      <c r="BI197">
        <v>7</v>
      </c>
      <c r="BJ197" t="s">
        <v>948</v>
      </c>
      <c r="BK197" t="s">
        <v>569</v>
      </c>
      <c r="BL197" t="s">
        <v>949</v>
      </c>
      <c r="BM197" t="s">
        <v>2721</v>
      </c>
      <c r="BN197">
        <v>12456706</v>
      </c>
      <c r="BO197" t="s">
        <v>74</v>
      </c>
      <c r="BP197" t="s">
        <v>74</v>
      </c>
      <c r="BQ197" t="s">
        <v>74</v>
      </c>
      <c r="BR197" t="s">
        <v>98</v>
      </c>
      <c r="BS197" t="s">
        <v>2744</v>
      </c>
      <c r="BT197" t="str">
        <f>HYPERLINK("https%3A%2F%2Fwww.webofscience.com%2Fwos%2Fwoscc%2Ffull-record%2FWOS:000180543700014","View Full Record in Web of Science")</f>
        <v>View Full Record in Web of Science</v>
      </c>
    </row>
    <row r="198" spans="1:72" x14ac:dyDescent="0.15">
      <c r="A198" t="s">
        <v>552</v>
      </c>
      <c r="B198" t="s">
        <v>2745</v>
      </c>
      <c r="C198" t="s">
        <v>74</v>
      </c>
      <c r="D198" t="s">
        <v>74</v>
      </c>
      <c r="E198" t="s">
        <v>74</v>
      </c>
      <c r="F198" t="s">
        <v>2745</v>
      </c>
      <c r="G198" t="s">
        <v>74</v>
      </c>
      <c r="H198" t="s">
        <v>74</v>
      </c>
      <c r="I198" t="s">
        <v>2746</v>
      </c>
      <c r="J198" t="s">
        <v>2706</v>
      </c>
      <c r="K198" t="s">
        <v>74</v>
      </c>
      <c r="L198" t="s">
        <v>74</v>
      </c>
      <c r="M198" t="s">
        <v>78</v>
      </c>
      <c r="N198" t="s">
        <v>775</v>
      </c>
      <c r="O198" t="s">
        <v>74</v>
      </c>
      <c r="P198" t="s">
        <v>74</v>
      </c>
      <c r="Q198" t="s">
        <v>74</v>
      </c>
      <c r="R198" t="s">
        <v>74</v>
      </c>
      <c r="S198" t="s">
        <v>74</v>
      </c>
      <c r="T198" t="s">
        <v>2747</v>
      </c>
      <c r="U198" t="s">
        <v>2748</v>
      </c>
      <c r="V198" t="s">
        <v>2749</v>
      </c>
      <c r="W198" t="s">
        <v>2750</v>
      </c>
      <c r="X198" t="s">
        <v>2751</v>
      </c>
      <c r="Y198" t="s">
        <v>2752</v>
      </c>
      <c r="Z198" t="s">
        <v>74</v>
      </c>
      <c r="AA198" t="s">
        <v>2753</v>
      </c>
      <c r="AB198" t="s">
        <v>2754</v>
      </c>
      <c r="AC198" t="s">
        <v>74</v>
      </c>
      <c r="AD198" t="s">
        <v>74</v>
      </c>
      <c r="AE198" t="s">
        <v>74</v>
      </c>
      <c r="AF198" t="s">
        <v>74</v>
      </c>
      <c r="AG198">
        <v>27</v>
      </c>
      <c r="AH198">
        <v>63</v>
      </c>
      <c r="AI198">
        <v>78</v>
      </c>
      <c r="AJ198">
        <v>1</v>
      </c>
      <c r="AK198">
        <v>16</v>
      </c>
      <c r="AL198" t="s">
        <v>2715</v>
      </c>
      <c r="AM198" t="s">
        <v>1168</v>
      </c>
      <c r="AN198" t="s">
        <v>2716</v>
      </c>
      <c r="AO198" t="s">
        <v>2717</v>
      </c>
      <c r="AP198" t="s">
        <v>74</v>
      </c>
      <c r="AQ198" t="s">
        <v>74</v>
      </c>
      <c r="AR198" t="s">
        <v>2718</v>
      </c>
      <c r="AS198" t="s">
        <v>2719</v>
      </c>
      <c r="AT198" t="s">
        <v>566</v>
      </c>
      <c r="AU198">
        <v>2003</v>
      </c>
      <c r="AV198">
        <v>206</v>
      </c>
      <c r="AW198">
        <v>2</v>
      </c>
      <c r="AX198" t="s">
        <v>74</v>
      </c>
      <c r="AY198" t="s">
        <v>74</v>
      </c>
      <c r="AZ198" t="s">
        <v>74</v>
      </c>
      <c r="BA198" t="s">
        <v>74</v>
      </c>
      <c r="BB198">
        <v>215</v>
      </c>
      <c r="BC198">
        <v>221</v>
      </c>
      <c r="BD198" t="s">
        <v>74</v>
      </c>
      <c r="BE198" t="s">
        <v>2755</v>
      </c>
      <c r="BF198" t="str">
        <f>HYPERLINK("http://dx.doi.org/10.1242/jeb.00083","http://dx.doi.org/10.1242/jeb.00083")</f>
        <v>http://dx.doi.org/10.1242/jeb.00083</v>
      </c>
      <c r="BG198" t="s">
        <v>74</v>
      </c>
      <c r="BH198" t="s">
        <v>74</v>
      </c>
      <c r="BI198">
        <v>7</v>
      </c>
      <c r="BJ198" t="s">
        <v>948</v>
      </c>
      <c r="BK198" t="s">
        <v>569</v>
      </c>
      <c r="BL198" t="s">
        <v>949</v>
      </c>
      <c r="BM198" t="s">
        <v>2756</v>
      </c>
      <c r="BN198">
        <v>12477892</v>
      </c>
      <c r="BO198" t="s">
        <v>74</v>
      </c>
      <c r="BP198" t="s">
        <v>74</v>
      </c>
      <c r="BQ198" t="s">
        <v>74</v>
      </c>
      <c r="BR198" t="s">
        <v>98</v>
      </c>
      <c r="BS198" t="s">
        <v>2757</v>
      </c>
      <c r="BT198" t="str">
        <f>HYPERLINK("https%3A%2F%2Fwww.webofscience.com%2Fwos%2Fwoscc%2Ffull-record%2FWOS:000180713600001","View Full Record in Web of Science")</f>
        <v>View Full Record in Web of Science</v>
      </c>
    </row>
    <row r="199" spans="1:72" x14ac:dyDescent="0.15">
      <c r="A199" t="s">
        <v>552</v>
      </c>
      <c r="B199" t="s">
        <v>2758</v>
      </c>
      <c r="C199" t="s">
        <v>74</v>
      </c>
      <c r="D199" t="s">
        <v>74</v>
      </c>
      <c r="E199" t="s">
        <v>74</v>
      </c>
      <c r="F199" t="s">
        <v>2758</v>
      </c>
      <c r="G199" t="s">
        <v>74</v>
      </c>
      <c r="H199" t="s">
        <v>74</v>
      </c>
      <c r="I199" t="s">
        <v>2759</v>
      </c>
      <c r="J199" t="s">
        <v>2706</v>
      </c>
      <c r="K199" t="s">
        <v>74</v>
      </c>
      <c r="L199" t="s">
        <v>74</v>
      </c>
      <c r="M199" t="s">
        <v>78</v>
      </c>
      <c r="N199" t="s">
        <v>775</v>
      </c>
      <c r="O199" t="s">
        <v>74</v>
      </c>
      <c r="P199" t="s">
        <v>74</v>
      </c>
      <c r="Q199" t="s">
        <v>74</v>
      </c>
      <c r="R199" t="s">
        <v>74</v>
      </c>
      <c r="S199" t="s">
        <v>74</v>
      </c>
      <c r="T199" t="s">
        <v>2760</v>
      </c>
      <c r="U199" t="s">
        <v>2761</v>
      </c>
      <c r="V199" t="s">
        <v>2762</v>
      </c>
      <c r="W199" t="s">
        <v>2763</v>
      </c>
      <c r="X199" t="s">
        <v>2764</v>
      </c>
      <c r="Y199" t="s">
        <v>2765</v>
      </c>
      <c r="Z199" t="s">
        <v>2766</v>
      </c>
      <c r="AA199" t="s">
        <v>74</v>
      </c>
      <c r="AB199" t="s">
        <v>2767</v>
      </c>
      <c r="AC199" t="s">
        <v>74</v>
      </c>
      <c r="AD199" t="s">
        <v>74</v>
      </c>
      <c r="AE199" t="s">
        <v>74</v>
      </c>
      <c r="AF199" t="s">
        <v>74</v>
      </c>
      <c r="AG199">
        <v>64</v>
      </c>
      <c r="AH199">
        <v>34</v>
      </c>
      <c r="AI199">
        <v>40</v>
      </c>
      <c r="AJ199">
        <v>0</v>
      </c>
      <c r="AK199">
        <v>5</v>
      </c>
      <c r="AL199" t="s">
        <v>2768</v>
      </c>
      <c r="AM199" t="s">
        <v>1168</v>
      </c>
      <c r="AN199" t="s">
        <v>2769</v>
      </c>
      <c r="AO199" t="s">
        <v>2717</v>
      </c>
      <c r="AP199" t="s">
        <v>2770</v>
      </c>
      <c r="AQ199" t="s">
        <v>74</v>
      </c>
      <c r="AR199" t="s">
        <v>2718</v>
      </c>
      <c r="AS199" t="s">
        <v>2719</v>
      </c>
      <c r="AT199" t="s">
        <v>566</v>
      </c>
      <c r="AU199">
        <v>2003</v>
      </c>
      <c r="AV199">
        <v>206</v>
      </c>
      <c r="AW199">
        <v>2</v>
      </c>
      <c r="AX199" t="s">
        <v>74</v>
      </c>
      <c r="AY199" t="s">
        <v>74</v>
      </c>
      <c r="AZ199" t="s">
        <v>74</v>
      </c>
      <c r="BA199" t="s">
        <v>74</v>
      </c>
      <c r="BB199">
        <v>411</v>
      </c>
      <c r="BC199">
        <v>421</v>
      </c>
      <c r="BD199" t="s">
        <v>74</v>
      </c>
      <c r="BE199" t="s">
        <v>2771</v>
      </c>
      <c r="BF199" t="str">
        <f>HYPERLINK("http://dx.doi.org/10.1242/jeb.00088","http://dx.doi.org/10.1242/jeb.00088")</f>
        <v>http://dx.doi.org/10.1242/jeb.00088</v>
      </c>
      <c r="BG199" t="s">
        <v>74</v>
      </c>
      <c r="BH199" t="s">
        <v>74</v>
      </c>
      <c r="BI199">
        <v>11</v>
      </c>
      <c r="BJ199" t="s">
        <v>948</v>
      </c>
      <c r="BK199" t="s">
        <v>569</v>
      </c>
      <c r="BL199" t="s">
        <v>949</v>
      </c>
      <c r="BM199" t="s">
        <v>2756</v>
      </c>
      <c r="BN199">
        <v>12477911</v>
      </c>
      <c r="BO199" t="s">
        <v>572</v>
      </c>
      <c r="BP199" t="s">
        <v>74</v>
      </c>
      <c r="BQ199" t="s">
        <v>74</v>
      </c>
      <c r="BR199" t="s">
        <v>98</v>
      </c>
      <c r="BS199" t="s">
        <v>2772</v>
      </c>
      <c r="BT199" t="str">
        <f>HYPERLINK("https%3A%2F%2Fwww.webofscience.com%2Fwos%2Fwoscc%2Ffull-record%2FWOS:000180713600020","View Full Record in Web of Science")</f>
        <v>View Full Record in Web of Science</v>
      </c>
    </row>
    <row r="200" spans="1:72" x14ac:dyDescent="0.15">
      <c r="A200" t="s">
        <v>552</v>
      </c>
      <c r="B200" t="s">
        <v>2773</v>
      </c>
      <c r="C200" t="s">
        <v>74</v>
      </c>
      <c r="D200" t="s">
        <v>74</v>
      </c>
      <c r="E200" t="s">
        <v>74</v>
      </c>
      <c r="F200" t="s">
        <v>2773</v>
      </c>
      <c r="G200" t="s">
        <v>74</v>
      </c>
      <c r="H200" t="s">
        <v>74</v>
      </c>
      <c r="I200" t="s">
        <v>2774</v>
      </c>
      <c r="J200" t="s">
        <v>2775</v>
      </c>
      <c r="K200" t="s">
        <v>74</v>
      </c>
      <c r="L200" t="s">
        <v>74</v>
      </c>
      <c r="M200" t="s">
        <v>78</v>
      </c>
      <c r="N200" t="s">
        <v>775</v>
      </c>
      <c r="O200" t="s">
        <v>74</v>
      </c>
      <c r="P200" t="s">
        <v>74</v>
      </c>
      <c r="Q200" t="s">
        <v>74</v>
      </c>
      <c r="R200" t="s">
        <v>74</v>
      </c>
      <c r="S200" t="s">
        <v>74</v>
      </c>
      <c r="T200" t="s">
        <v>74</v>
      </c>
      <c r="U200" t="s">
        <v>2776</v>
      </c>
      <c r="V200" t="s">
        <v>2777</v>
      </c>
      <c r="W200" t="s">
        <v>2778</v>
      </c>
      <c r="X200" t="s">
        <v>2779</v>
      </c>
      <c r="Y200" t="s">
        <v>2780</v>
      </c>
      <c r="Z200" t="s">
        <v>2781</v>
      </c>
      <c r="AA200" t="s">
        <v>2782</v>
      </c>
      <c r="AB200" t="s">
        <v>74</v>
      </c>
      <c r="AC200" t="s">
        <v>74</v>
      </c>
      <c r="AD200" t="s">
        <v>74</v>
      </c>
      <c r="AE200" t="s">
        <v>74</v>
      </c>
      <c r="AF200" t="s">
        <v>74</v>
      </c>
      <c r="AG200">
        <v>26</v>
      </c>
      <c r="AH200">
        <v>9</v>
      </c>
      <c r="AI200">
        <v>11</v>
      </c>
      <c r="AJ200">
        <v>0</v>
      </c>
      <c r="AK200">
        <v>8</v>
      </c>
      <c r="AL200" t="s">
        <v>560</v>
      </c>
      <c r="AM200" t="s">
        <v>1168</v>
      </c>
      <c r="AN200" t="s">
        <v>2783</v>
      </c>
      <c r="AO200" t="s">
        <v>2784</v>
      </c>
      <c r="AP200" t="s">
        <v>2785</v>
      </c>
      <c r="AQ200" t="s">
        <v>74</v>
      </c>
      <c r="AR200" t="s">
        <v>2786</v>
      </c>
      <c r="AS200" t="s">
        <v>2787</v>
      </c>
      <c r="AT200" t="s">
        <v>74</v>
      </c>
      <c r="AU200">
        <v>2003</v>
      </c>
      <c r="AV200">
        <v>49</v>
      </c>
      <c r="AW200">
        <v>164</v>
      </c>
      <c r="AX200" t="s">
        <v>74</v>
      </c>
      <c r="AY200" t="s">
        <v>74</v>
      </c>
      <c r="AZ200" t="s">
        <v>74</v>
      </c>
      <c r="BA200" t="s">
        <v>74</v>
      </c>
      <c r="BB200">
        <v>8</v>
      </c>
      <c r="BC200">
        <v>12</v>
      </c>
      <c r="BD200" t="s">
        <v>74</v>
      </c>
      <c r="BE200" t="s">
        <v>2788</v>
      </c>
      <c r="BF200" t="str">
        <f>HYPERLINK("http://dx.doi.org/10.3189/172756503781830953","http://dx.doi.org/10.3189/172756503781830953")</f>
        <v>http://dx.doi.org/10.3189/172756503781830953</v>
      </c>
      <c r="BG200" t="s">
        <v>74</v>
      </c>
      <c r="BH200" t="s">
        <v>74</v>
      </c>
      <c r="BI200">
        <v>5</v>
      </c>
      <c r="BJ200" t="s">
        <v>2348</v>
      </c>
      <c r="BK200" t="s">
        <v>569</v>
      </c>
      <c r="BL200" t="s">
        <v>2349</v>
      </c>
      <c r="BM200" t="s">
        <v>2789</v>
      </c>
      <c r="BN200" t="s">
        <v>74</v>
      </c>
      <c r="BO200" t="s">
        <v>572</v>
      </c>
      <c r="BP200" t="s">
        <v>74</v>
      </c>
      <c r="BQ200" t="s">
        <v>74</v>
      </c>
      <c r="BR200" t="s">
        <v>98</v>
      </c>
      <c r="BS200" t="s">
        <v>2790</v>
      </c>
      <c r="BT200" t="str">
        <f>HYPERLINK("https%3A%2F%2Fwww.webofscience.com%2Fwos%2Fwoscc%2Ffull-record%2FWOS:000188771100002","View Full Record in Web of Science")</f>
        <v>View Full Record in Web of Science</v>
      </c>
    </row>
    <row r="201" spans="1:72" x14ac:dyDescent="0.15">
      <c r="A201" t="s">
        <v>552</v>
      </c>
      <c r="B201" t="s">
        <v>2791</v>
      </c>
      <c r="C201" t="s">
        <v>74</v>
      </c>
      <c r="D201" t="s">
        <v>74</v>
      </c>
      <c r="E201" t="s">
        <v>74</v>
      </c>
      <c r="F201" t="s">
        <v>2791</v>
      </c>
      <c r="G201" t="s">
        <v>74</v>
      </c>
      <c r="H201" t="s">
        <v>74</v>
      </c>
      <c r="I201" t="s">
        <v>2792</v>
      </c>
      <c r="J201" t="s">
        <v>2775</v>
      </c>
      <c r="K201" t="s">
        <v>74</v>
      </c>
      <c r="L201" t="s">
        <v>74</v>
      </c>
      <c r="M201" t="s">
        <v>78</v>
      </c>
      <c r="N201" t="s">
        <v>775</v>
      </c>
      <c r="O201" t="s">
        <v>74</v>
      </c>
      <c r="P201" t="s">
        <v>74</v>
      </c>
      <c r="Q201" t="s">
        <v>74</v>
      </c>
      <c r="R201" t="s">
        <v>74</v>
      </c>
      <c r="S201" t="s">
        <v>74</v>
      </c>
      <c r="T201" t="s">
        <v>74</v>
      </c>
      <c r="U201" t="s">
        <v>2793</v>
      </c>
      <c r="V201" t="s">
        <v>2794</v>
      </c>
      <c r="W201" t="s">
        <v>2795</v>
      </c>
      <c r="X201" t="s">
        <v>2796</v>
      </c>
      <c r="Y201" t="s">
        <v>2797</v>
      </c>
      <c r="Z201" t="s">
        <v>2798</v>
      </c>
      <c r="AA201" t="s">
        <v>2799</v>
      </c>
      <c r="AB201" t="s">
        <v>2800</v>
      </c>
      <c r="AC201" t="s">
        <v>74</v>
      </c>
      <c r="AD201" t="s">
        <v>74</v>
      </c>
      <c r="AE201" t="s">
        <v>74</v>
      </c>
      <c r="AF201" t="s">
        <v>74</v>
      </c>
      <c r="AG201">
        <v>20</v>
      </c>
      <c r="AH201">
        <v>149</v>
      </c>
      <c r="AI201">
        <v>176</v>
      </c>
      <c r="AJ201">
        <v>0</v>
      </c>
      <c r="AK201">
        <v>20</v>
      </c>
      <c r="AL201" t="s">
        <v>2801</v>
      </c>
      <c r="AM201" t="s">
        <v>1168</v>
      </c>
      <c r="AN201" t="s">
        <v>2802</v>
      </c>
      <c r="AO201" t="s">
        <v>2784</v>
      </c>
      <c r="AP201" t="s">
        <v>74</v>
      </c>
      <c r="AQ201" t="s">
        <v>74</v>
      </c>
      <c r="AR201" t="s">
        <v>2786</v>
      </c>
      <c r="AS201" t="s">
        <v>2787</v>
      </c>
      <c r="AT201" t="s">
        <v>74</v>
      </c>
      <c r="AU201">
        <v>2003</v>
      </c>
      <c r="AV201">
        <v>49</v>
      </c>
      <c r="AW201">
        <v>164</v>
      </c>
      <c r="AX201" t="s">
        <v>74</v>
      </c>
      <c r="AY201" t="s">
        <v>74</v>
      </c>
      <c r="AZ201" t="s">
        <v>74</v>
      </c>
      <c r="BA201" t="s">
        <v>74</v>
      </c>
      <c r="BB201">
        <v>22</v>
      </c>
      <c r="BC201">
        <v>36</v>
      </c>
      <c r="BD201" t="s">
        <v>74</v>
      </c>
      <c r="BE201" t="s">
        <v>2803</v>
      </c>
      <c r="BF201" t="str">
        <f>HYPERLINK("http://dx.doi.org/10.3189/172756503781830863","http://dx.doi.org/10.3189/172756503781830863")</f>
        <v>http://dx.doi.org/10.3189/172756503781830863</v>
      </c>
      <c r="BG201" t="s">
        <v>74</v>
      </c>
      <c r="BH201" t="s">
        <v>74</v>
      </c>
      <c r="BI201">
        <v>15</v>
      </c>
      <c r="BJ201" t="s">
        <v>2348</v>
      </c>
      <c r="BK201" t="s">
        <v>569</v>
      </c>
      <c r="BL201" t="s">
        <v>2349</v>
      </c>
      <c r="BM201" t="s">
        <v>2789</v>
      </c>
      <c r="BN201" t="s">
        <v>74</v>
      </c>
      <c r="BO201" t="s">
        <v>572</v>
      </c>
      <c r="BP201" t="s">
        <v>74</v>
      </c>
      <c r="BQ201" t="s">
        <v>74</v>
      </c>
      <c r="BR201" t="s">
        <v>98</v>
      </c>
      <c r="BS201" t="s">
        <v>2804</v>
      </c>
      <c r="BT201" t="str">
        <f>HYPERLINK("https%3A%2F%2Fwww.webofscience.com%2Fwos%2Fwoscc%2Ffull-record%2FWOS:000188771100004","View Full Record in Web of Science")</f>
        <v>View Full Record in Web of Science</v>
      </c>
    </row>
    <row r="202" spans="1:72" x14ac:dyDescent="0.15">
      <c r="A202" t="s">
        <v>552</v>
      </c>
      <c r="B202" t="s">
        <v>2805</v>
      </c>
      <c r="C202" t="s">
        <v>74</v>
      </c>
      <c r="D202" t="s">
        <v>74</v>
      </c>
      <c r="E202" t="s">
        <v>74</v>
      </c>
      <c r="F202" t="s">
        <v>2805</v>
      </c>
      <c r="G202" t="s">
        <v>74</v>
      </c>
      <c r="H202" t="s">
        <v>74</v>
      </c>
      <c r="I202" t="s">
        <v>2806</v>
      </c>
      <c r="J202" t="s">
        <v>2775</v>
      </c>
      <c r="K202" t="s">
        <v>74</v>
      </c>
      <c r="L202" t="s">
        <v>74</v>
      </c>
      <c r="M202" t="s">
        <v>78</v>
      </c>
      <c r="N202" t="s">
        <v>775</v>
      </c>
      <c r="O202" t="s">
        <v>74</v>
      </c>
      <c r="P202" t="s">
        <v>74</v>
      </c>
      <c r="Q202" t="s">
        <v>74</v>
      </c>
      <c r="R202" t="s">
        <v>74</v>
      </c>
      <c r="S202" t="s">
        <v>74</v>
      </c>
      <c r="T202" t="s">
        <v>74</v>
      </c>
      <c r="U202" t="s">
        <v>2807</v>
      </c>
      <c r="V202" t="s">
        <v>2808</v>
      </c>
      <c r="W202" t="s">
        <v>2809</v>
      </c>
      <c r="X202" t="s">
        <v>2810</v>
      </c>
      <c r="Y202" t="s">
        <v>2811</v>
      </c>
      <c r="Z202" t="s">
        <v>2812</v>
      </c>
      <c r="AA202" t="s">
        <v>2813</v>
      </c>
      <c r="AB202" t="s">
        <v>74</v>
      </c>
      <c r="AC202" t="s">
        <v>74</v>
      </c>
      <c r="AD202" t="s">
        <v>74</v>
      </c>
      <c r="AE202" t="s">
        <v>74</v>
      </c>
      <c r="AF202" t="s">
        <v>74</v>
      </c>
      <c r="AG202">
        <v>87</v>
      </c>
      <c r="AH202">
        <v>130</v>
      </c>
      <c r="AI202">
        <v>137</v>
      </c>
      <c r="AJ202">
        <v>0</v>
      </c>
      <c r="AK202">
        <v>19</v>
      </c>
      <c r="AL202" t="s">
        <v>560</v>
      </c>
      <c r="AM202" t="s">
        <v>1168</v>
      </c>
      <c r="AN202" t="s">
        <v>2783</v>
      </c>
      <c r="AO202" t="s">
        <v>2784</v>
      </c>
      <c r="AP202" t="s">
        <v>2785</v>
      </c>
      <c r="AQ202" t="s">
        <v>74</v>
      </c>
      <c r="AR202" t="s">
        <v>2786</v>
      </c>
      <c r="AS202" t="s">
        <v>2787</v>
      </c>
      <c r="AT202" t="s">
        <v>74</v>
      </c>
      <c r="AU202">
        <v>2003</v>
      </c>
      <c r="AV202">
        <v>49</v>
      </c>
      <c r="AW202">
        <v>164</v>
      </c>
      <c r="AX202" t="s">
        <v>74</v>
      </c>
      <c r="AY202" t="s">
        <v>74</v>
      </c>
      <c r="AZ202" t="s">
        <v>74</v>
      </c>
      <c r="BA202" t="s">
        <v>74</v>
      </c>
      <c r="BB202">
        <v>125</v>
      </c>
      <c r="BC202">
        <v>138</v>
      </c>
      <c r="BD202" t="s">
        <v>74</v>
      </c>
      <c r="BE202" t="s">
        <v>2814</v>
      </c>
      <c r="BF202" t="str">
        <f>HYPERLINK("http://dx.doi.org/10.3189/172756503781830971","http://dx.doi.org/10.3189/172756503781830971")</f>
        <v>http://dx.doi.org/10.3189/172756503781830971</v>
      </c>
      <c r="BG202" t="s">
        <v>74</v>
      </c>
      <c r="BH202" t="s">
        <v>74</v>
      </c>
      <c r="BI202">
        <v>14</v>
      </c>
      <c r="BJ202" t="s">
        <v>2348</v>
      </c>
      <c r="BK202" t="s">
        <v>569</v>
      </c>
      <c r="BL202" t="s">
        <v>2349</v>
      </c>
      <c r="BM202" t="s">
        <v>2789</v>
      </c>
      <c r="BN202" t="s">
        <v>74</v>
      </c>
      <c r="BO202" t="s">
        <v>572</v>
      </c>
      <c r="BP202" t="s">
        <v>74</v>
      </c>
      <c r="BQ202" t="s">
        <v>74</v>
      </c>
      <c r="BR202" t="s">
        <v>98</v>
      </c>
      <c r="BS202" t="s">
        <v>2815</v>
      </c>
      <c r="BT202" t="str">
        <f>HYPERLINK("https%3A%2F%2Fwww.webofscience.com%2Fwos%2Fwoscc%2Ffull-record%2FWOS:000188771100013","View Full Record in Web of Science")</f>
        <v>View Full Record in Web of Science</v>
      </c>
    </row>
    <row r="203" spans="1:72" x14ac:dyDescent="0.15">
      <c r="A203" t="s">
        <v>552</v>
      </c>
      <c r="B203" t="s">
        <v>2816</v>
      </c>
      <c r="C203" t="s">
        <v>74</v>
      </c>
      <c r="D203" t="s">
        <v>74</v>
      </c>
      <c r="E203" t="s">
        <v>74</v>
      </c>
      <c r="F203" t="s">
        <v>2816</v>
      </c>
      <c r="G203" t="s">
        <v>74</v>
      </c>
      <c r="H203" t="s">
        <v>74</v>
      </c>
      <c r="I203" t="s">
        <v>2817</v>
      </c>
      <c r="J203" t="s">
        <v>2775</v>
      </c>
      <c r="K203" t="s">
        <v>74</v>
      </c>
      <c r="L203" t="s">
        <v>74</v>
      </c>
      <c r="M203" t="s">
        <v>78</v>
      </c>
      <c r="N203" t="s">
        <v>775</v>
      </c>
      <c r="O203" t="s">
        <v>74</v>
      </c>
      <c r="P203" t="s">
        <v>74</v>
      </c>
      <c r="Q203" t="s">
        <v>74</v>
      </c>
      <c r="R203" t="s">
        <v>74</v>
      </c>
      <c r="S203" t="s">
        <v>74</v>
      </c>
      <c r="T203" t="s">
        <v>74</v>
      </c>
      <c r="U203" t="s">
        <v>2818</v>
      </c>
      <c r="V203" t="s">
        <v>2819</v>
      </c>
      <c r="W203" t="s">
        <v>2820</v>
      </c>
      <c r="X203" t="s">
        <v>74</v>
      </c>
      <c r="Y203" t="s">
        <v>2821</v>
      </c>
      <c r="Z203" t="s">
        <v>2822</v>
      </c>
      <c r="AA203" t="s">
        <v>2823</v>
      </c>
      <c r="AB203" t="s">
        <v>2824</v>
      </c>
      <c r="AC203" t="s">
        <v>74</v>
      </c>
      <c r="AD203" t="s">
        <v>74</v>
      </c>
      <c r="AE203" t="s">
        <v>74</v>
      </c>
      <c r="AF203" t="s">
        <v>74</v>
      </c>
      <c r="AG203">
        <v>25</v>
      </c>
      <c r="AH203">
        <v>16</v>
      </c>
      <c r="AI203">
        <v>24</v>
      </c>
      <c r="AJ203">
        <v>0</v>
      </c>
      <c r="AK203">
        <v>3</v>
      </c>
      <c r="AL203" t="s">
        <v>2801</v>
      </c>
      <c r="AM203" t="s">
        <v>1168</v>
      </c>
      <c r="AN203" t="s">
        <v>2802</v>
      </c>
      <c r="AO203" t="s">
        <v>2784</v>
      </c>
      <c r="AP203" t="s">
        <v>74</v>
      </c>
      <c r="AQ203" t="s">
        <v>74</v>
      </c>
      <c r="AR203" t="s">
        <v>2786</v>
      </c>
      <c r="AS203" t="s">
        <v>2787</v>
      </c>
      <c r="AT203" t="s">
        <v>74</v>
      </c>
      <c r="AU203">
        <v>2003</v>
      </c>
      <c r="AV203">
        <v>49</v>
      </c>
      <c r="AW203">
        <v>165</v>
      </c>
      <c r="AX203" t="s">
        <v>74</v>
      </c>
      <c r="AY203" t="s">
        <v>74</v>
      </c>
      <c r="AZ203" t="s">
        <v>74</v>
      </c>
      <c r="BA203" t="s">
        <v>74</v>
      </c>
      <c r="BB203">
        <v>179</v>
      </c>
      <c r="BC203">
        <v>183</v>
      </c>
      <c r="BD203" t="s">
        <v>74</v>
      </c>
      <c r="BE203" t="s">
        <v>2825</v>
      </c>
      <c r="BF203" t="str">
        <f>HYPERLINK("http://dx.doi.org/10.3189/172756503781830755","http://dx.doi.org/10.3189/172756503781830755")</f>
        <v>http://dx.doi.org/10.3189/172756503781830755</v>
      </c>
      <c r="BG203" t="s">
        <v>74</v>
      </c>
      <c r="BH203" t="s">
        <v>74</v>
      </c>
      <c r="BI203">
        <v>5</v>
      </c>
      <c r="BJ203" t="s">
        <v>2348</v>
      </c>
      <c r="BK203" t="s">
        <v>569</v>
      </c>
      <c r="BL203" t="s">
        <v>2349</v>
      </c>
      <c r="BM203" t="s">
        <v>2826</v>
      </c>
      <c r="BN203" t="s">
        <v>74</v>
      </c>
      <c r="BO203" t="s">
        <v>572</v>
      </c>
      <c r="BP203" t="s">
        <v>74</v>
      </c>
      <c r="BQ203" t="s">
        <v>74</v>
      </c>
      <c r="BR203" t="s">
        <v>98</v>
      </c>
      <c r="BS203" t="s">
        <v>2827</v>
      </c>
      <c r="BT203" t="str">
        <f>HYPERLINK("https%3A%2F%2Fwww.webofscience.com%2Fwos%2Fwoscc%2Ffull-record%2FWOS:000188771200003","View Full Record in Web of Science")</f>
        <v>View Full Record in Web of Science</v>
      </c>
    </row>
    <row r="204" spans="1:72" x14ac:dyDescent="0.15">
      <c r="A204" t="s">
        <v>552</v>
      </c>
      <c r="B204" t="s">
        <v>2828</v>
      </c>
      <c r="C204" t="s">
        <v>74</v>
      </c>
      <c r="D204" t="s">
        <v>74</v>
      </c>
      <c r="E204" t="s">
        <v>74</v>
      </c>
      <c r="F204" t="s">
        <v>2828</v>
      </c>
      <c r="G204" t="s">
        <v>74</v>
      </c>
      <c r="H204" t="s">
        <v>74</v>
      </c>
      <c r="I204" t="s">
        <v>2829</v>
      </c>
      <c r="J204" t="s">
        <v>2775</v>
      </c>
      <c r="K204" t="s">
        <v>74</v>
      </c>
      <c r="L204" t="s">
        <v>74</v>
      </c>
      <c r="M204" t="s">
        <v>78</v>
      </c>
      <c r="N204" t="s">
        <v>775</v>
      </c>
      <c r="O204" t="s">
        <v>74</v>
      </c>
      <c r="P204" t="s">
        <v>74</v>
      </c>
      <c r="Q204" t="s">
        <v>74</v>
      </c>
      <c r="R204" t="s">
        <v>74</v>
      </c>
      <c r="S204" t="s">
        <v>74</v>
      </c>
      <c r="T204" t="s">
        <v>74</v>
      </c>
      <c r="U204" t="s">
        <v>2830</v>
      </c>
      <c r="V204" t="s">
        <v>2831</v>
      </c>
      <c r="W204" t="s">
        <v>2832</v>
      </c>
      <c r="X204" t="s">
        <v>2833</v>
      </c>
      <c r="Y204" t="s">
        <v>2834</v>
      </c>
      <c r="Z204" t="s">
        <v>2835</v>
      </c>
      <c r="AA204" t="s">
        <v>2836</v>
      </c>
      <c r="AB204" t="s">
        <v>74</v>
      </c>
      <c r="AC204" t="s">
        <v>74</v>
      </c>
      <c r="AD204" t="s">
        <v>74</v>
      </c>
      <c r="AE204" t="s">
        <v>74</v>
      </c>
      <c r="AF204" t="s">
        <v>74</v>
      </c>
      <c r="AG204">
        <v>20</v>
      </c>
      <c r="AH204">
        <v>11</v>
      </c>
      <c r="AI204">
        <v>11</v>
      </c>
      <c r="AJ204">
        <v>0</v>
      </c>
      <c r="AK204">
        <v>1</v>
      </c>
      <c r="AL204" t="s">
        <v>2801</v>
      </c>
      <c r="AM204" t="s">
        <v>1168</v>
      </c>
      <c r="AN204" t="s">
        <v>2802</v>
      </c>
      <c r="AO204" t="s">
        <v>2784</v>
      </c>
      <c r="AP204" t="s">
        <v>74</v>
      </c>
      <c r="AQ204" t="s">
        <v>74</v>
      </c>
      <c r="AR204" t="s">
        <v>2786</v>
      </c>
      <c r="AS204" t="s">
        <v>2787</v>
      </c>
      <c r="AT204" t="s">
        <v>74</v>
      </c>
      <c r="AU204">
        <v>2003</v>
      </c>
      <c r="AV204">
        <v>49</v>
      </c>
      <c r="AW204">
        <v>165</v>
      </c>
      <c r="AX204" t="s">
        <v>74</v>
      </c>
      <c r="AY204" t="s">
        <v>74</v>
      </c>
      <c r="AZ204" t="s">
        <v>74</v>
      </c>
      <c r="BA204" t="s">
        <v>74</v>
      </c>
      <c r="BB204">
        <v>315</v>
      </c>
      <c r="BC204">
        <v>322</v>
      </c>
      <c r="BD204" t="s">
        <v>74</v>
      </c>
      <c r="BE204" t="s">
        <v>2837</v>
      </c>
      <c r="BF204" t="str">
        <f>HYPERLINK("http://dx.doi.org/10.3189/172756503781830737","http://dx.doi.org/10.3189/172756503781830737")</f>
        <v>http://dx.doi.org/10.3189/172756503781830737</v>
      </c>
      <c r="BG204" t="s">
        <v>74</v>
      </c>
      <c r="BH204" t="s">
        <v>74</v>
      </c>
      <c r="BI204">
        <v>8</v>
      </c>
      <c r="BJ204" t="s">
        <v>2348</v>
      </c>
      <c r="BK204" t="s">
        <v>569</v>
      </c>
      <c r="BL204" t="s">
        <v>2349</v>
      </c>
      <c r="BM204" t="s">
        <v>2826</v>
      </c>
      <c r="BN204" t="s">
        <v>74</v>
      </c>
      <c r="BO204" t="s">
        <v>572</v>
      </c>
      <c r="BP204" t="s">
        <v>74</v>
      </c>
      <c r="BQ204" t="s">
        <v>74</v>
      </c>
      <c r="BR204" t="s">
        <v>98</v>
      </c>
      <c r="BS204" t="s">
        <v>2838</v>
      </c>
      <c r="BT204" t="str">
        <f>HYPERLINK("https%3A%2F%2Fwww.webofscience.com%2Fwos%2Fwoscc%2Ffull-record%2FWOS:000188771200015","View Full Record in Web of Science")</f>
        <v>View Full Record in Web of Science</v>
      </c>
    </row>
    <row r="205" spans="1:72" x14ac:dyDescent="0.15">
      <c r="A205" t="s">
        <v>552</v>
      </c>
      <c r="B205" t="s">
        <v>2839</v>
      </c>
      <c r="C205" t="s">
        <v>74</v>
      </c>
      <c r="D205" t="s">
        <v>74</v>
      </c>
      <c r="E205" t="s">
        <v>74</v>
      </c>
      <c r="F205" t="s">
        <v>2839</v>
      </c>
      <c r="G205" t="s">
        <v>74</v>
      </c>
      <c r="H205" t="s">
        <v>74</v>
      </c>
      <c r="I205" t="s">
        <v>2840</v>
      </c>
      <c r="J205" t="s">
        <v>2775</v>
      </c>
      <c r="K205" t="s">
        <v>74</v>
      </c>
      <c r="L205" t="s">
        <v>74</v>
      </c>
      <c r="M205" t="s">
        <v>78</v>
      </c>
      <c r="N205" t="s">
        <v>775</v>
      </c>
      <c r="O205" t="s">
        <v>74</v>
      </c>
      <c r="P205" t="s">
        <v>74</v>
      </c>
      <c r="Q205" t="s">
        <v>74</v>
      </c>
      <c r="R205" t="s">
        <v>74</v>
      </c>
      <c r="S205" t="s">
        <v>74</v>
      </c>
      <c r="T205" t="s">
        <v>74</v>
      </c>
      <c r="U205" t="s">
        <v>2841</v>
      </c>
      <c r="V205" t="s">
        <v>2842</v>
      </c>
      <c r="W205" t="s">
        <v>2843</v>
      </c>
      <c r="X205" t="s">
        <v>2844</v>
      </c>
      <c r="Y205" t="s">
        <v>2845</v>
      </c>
      <c r="Z205" t="s">
        <v>2846</v>
      </c>
      <c r="AA205" t="s">
        <v>2847</v>
      </c>
      <c r="AB205" t="s">
        <v>2848</v>
      </c>
      <c r="AC205" t="s">
        <v>74</v>
      </c>
      <c r="AD205" t="s">
        <v>74</v>
      </c>
      <c r="AE205" t="s">
        <v>74</v>
      </c>
      <c r="AF205" t="s">
        <v>74</v>
      </c>
      <c r="AG205">
        <v>30</v>
      </c>
      <c r="AH205">
        <v>16</v>
      </c>
      <c r="AI205">
        <v>23</v>
      </c>
      <c r="AJ205">
        <v>0</v>
      </c>
      <c r="AK205">
        <v>5</v>
      </c>
      <c r="AL205" t="s">
        <v>2801</v>
      </c>
      <c r="AM205" t="s">
        <v>1168</v>
      </c>
      <c r="AN205" t="s">
        <v>2802</v>
      </c>
      <c r="AO205" t="s">
        <v>2784</v>
      </c>
      <c r="AP205" t="s">
        <v>74</v>
      </c>
      <c r="AQ205" t="s">
        <v>74</v>
      </c>
      <c r="AR205" t="s">
        <v>2786</v>
      </c>
      <c r="AS205" t="s">
        <v>2787</v>
      </c>
      <c r="AT205" t="s">
        <v>74</v>
      </c>
      <c r="AU205">
        <v>2003</v>
      </c>
      <c r="AV205">
        <v>49</v>
      </c>
      <c r="AW205">
        <v>166</v>
      </c>
      <c r="AX205" t="s">
        <v>74</v>
      </c>
      <c r="AY205" t="s">
        <v>74</v>
      </c>
      <c r="AZ205" t="s">
        <v>74</v>
      </c>
      <c r="BA205" t="s">
        <v>74</v>
      </c>
      <c r="BB205">
        <v>381</v>
      </c>
      <c r="BC205">
        <v>390</v>
      </c>
      <c r="BD205" t="s">
        <v>74</v>
      </c>
      <c r="BE205" t="s">
        <v>2849</v>
      </c>
      <c r="BF205" t="str">
        <f>HYPERLINK("http://dx.doi.org/10.3189/172756503781830593","http://dx.doi.org/10.3189/172756503781830593")</f>
        <v>http://dx.doi.org/10.3189/172756503781830593</v>
      </c>
      <c r="BG205" t="s">
        <v>74</v>
      </c>
      <c r="BH205" t="s">
        <v>74</v>
      </c>
      <c r="BI205">
        <v>10</v>
      </c>
      <c r="BJ205" t="s">
        <v>2348</v>
      </c>
      <c r="BK205" t="s">
        <v>569</v>
      </c>
      <c r="BL205" t="s">
        <v>2349</v>
      </c>
      <c r="BM205" t="s">
        <v>2850</v>
      </c>
      <c r="BN205" t="s">
        <v>74</v>
      </c>
      <c r="BO205" t="s">
        <v>572</v>
      </c>
      <c r="BP205" t="s">
        <v>74</v>
      </c>
      <c r="BQ205" t="s">
        <v>74</v>
      </c>
      <c r="BR205" t="s">
        <v>98</v>
      </c>
      <c r="BS205" t="s">
        <v>2851</v>
      </c>
      <c r="BT205" t="str">
        <f>HYPERLINK("https%3A%2F%2Fwww.webofscience.com%2Fwos%2Fwoscc%2Ffull-record%2FWOS:000220521200006","View Full Record in Web of Science")</f>
        <v>View Full Record in Web of Science</v>
      </c>
    </row>
    <row r="206" spans="1:72" x14ac:dyDescent="0.15">
      <c r="A206" t="s">
        <v>552</v>
      </c>
      <c r="B206" t="s">
        <v>2852</v>
      </c>
      <c r="C206" t="s">
        <v>74</v>
      </c>
      <c r="D206" t="s">
        <v>74</v>
      </c>
      <c r="E206" t="s">
        <v>74</v>
      </c>
      <c r="F206" t="s">
        <v>2852</v>
      </c>
      <c r="G206" t="s">
        <v>74</v>
      </c>
      <c r="H206" t="s">
        <v>74</v>
      </c>
      <c r="I206" t="s">
        <v>2853</v>
      </c>
      <c r="J206" t="s">
        <v>2775</v>
      </c>
      <c r="K206" t="s">
        <v>74</v>
      </c>
      <c r="L206" t="s">
        <v>74</v>
      </c>
      <c r="M206" t="s">
        <v>78</v>
      </c>
      <c r="N206" t="s">
        <v>775</v>
      </c>
      <c r="O206" t="s">
        <v>74</v>
      </c>
      <c r="P206" t="s">
        <v>74</v>
      </c>
      <c r="Q206" t="s">
        <v>74</v>
      </c>
      <c r="R206" t="s">
        <v>74</v>
      </c>
      <c r="S206" t="s">
        <v>74</v>
      </c>
      <c r="T206" t="s">
        <v>74</v>
      </c>
      <c r="U206" t="s">
        <v>2854</v>
      </c>
      <c r="V206" t="s">
        <v>2855</v>
      </c>
      <c r="W206" t="s">
        <v>2856</v>
      </c>
      <c r="X206" t="s">
        <v>2857</v>
      </c>
      <c r="Y206" t="s">
        <v>2858</v>
      </c>
      <c r="Z206" t="s">
        <v>2859</v>
      </c>
      <c r="AA206" t="s">
        <v>74</v>
      </c>
      <c r="AB206" t="s">
        <v>74</v>
      </c>
      <c r="AC206" t="s">
        <v>74</v>
      </c>
      <c r="AD206" t="s">
        <v>74</v>
      </c>
      <c r="AE206" t="s">
        <v>74</v>
      </c>
      <c r="AF206" t="s">
        <v>74</v>
      </c>
      <c r="AG206">
        <v>20</v>
      </c>
      <c r="AH206">
        <v>9</v>
      </c>
      <c r="AI206">
        <v>10</v>
      </c>
      <c r="AJ206">
        <v>0</v>
      </c>
      <c r="AK206">
        <v>2</v>
      </c>
      <c r="AL206" t="s">
        <v>2801</v>
      </c>
      <c r="AM206" t="s">
        <v>1168</v>
      </c>
      <c r="AN206" t="s">
        <v>2802</v>
      </c>
      <c r="AO206" t="s">
        <v>2784</v>
      </c>
      <c r="AP206" t="s">
        <v>74</v>
      </c>
      <c r="AQ206" t="s">
        <v>74</v>
      </c>
      <c r="AR206" t="s">
        <v>2786</v>
      </c>
      <c r="AS206" t="s">
        <v>2787</v>
      </c>
      <c r="AT206" t="s">
        <v>74</v>
      </c>
      <c r="AU206">
        <v>2003</v>
      </c>
      <c r="AV206">
        <v>49</v>
      </c>
      <c r="AW206">
        <v>166</v>
      </c>
      <c r="AX206" t="s">
        <v>74</v>
      </c>
      <c r="AY206" t="s">
        <v>74</v>
      </c>
      <c r="AZ206" t="s">
        <v>74</v>
      </c>
      <c r="BA206" t="s">
        <v>74</v>
      </c>
      <c r="BB206">
        <v>415</v>
      </c>
      <c r="BC206">
        <v>419</v>
      </c>
      <c r="BD206" t="s">
        <v>74</v>
      </c>
      <c r="BE206" t="s">
        <v>2860</v>
      </c>
      <c r="BF206" t="str">
        <f>HYPERLINK("http://dx.doi.org/10.3189/172756503781830557","http://dx.doi.org/10.3189/172756503781830557")</f>
        <v>http://dx.doi.org/10.3189/172756503781830557</v>
      </c>
      <c r="BG206" t="s">
        <v>74</v>
      </c>
      <c r="BH206" t="s">
        <v>74</v>
      </c>
      <c r="BI206">
        <v>5</v>
      </c>
      <c r="BJ206" t="s">
        <v>2348</v>
      </c>
      <c r="BK206" t="s">
        <v>569</v>
      </c>
      <c r="BL206" t="s">
        <v>2349</v>
      </c>
      <c r="BM206" t="s">
        <v>2850</v>
      </c>
      <c r="BN206" t="s">
        <v>74</v>
      </c>
      <c r="BO206" t="s">
        <v>572</v>
      </c>
      <c r="BP206" t="s">
        <v>74</v>
      </c>
      <c r="BQ206" t="s">
        <v>74</v>
      </c>
      <c r="BR206" t="s">
        <v>98</v>
      </c>
      <c r="BS206" t="s">
        <v>2861</v>
      </c>
      <c r="BT206" t="str">
        <f>HYPERLINK("https%3A%2F%2Fwww.webofscience.com%2Fwos%2Fwoscc%2Ffull-record%2FWOS:000220521200010","View Full Record in Web of Science")</f>
        <v>View Full Record in Web of Science</v>
      </c>
    </row>
    <row r="207" spans="1:72" x14ac:dyDescent="0.15">
      <c r="A207" t="s">
        <v>552</v>
      </c>
      <c r="B207" t="s">
        <v>2862</v>
      </c>
      <c r="C207" t="s">
        <v>74</v>
      </c>
      <c r="D207" t="s">
        <v>74</v>
      </c>
      <c r="E207" t="s">
        <v>74</v>
      </c>
      <c r="F207" t="s">
        <v>2862</v>
      </c>
      <c r="G207" t="s">
        <v>74</v>
      </c>
      <c r="H207" t="s">
        <v>74</v>
      </c>
      <c r="I207" t="s">
        <v>2863</v>
      </c>
      <c r="J207" t="s">
        <v>2775</v>
      </c>
      <c r="K207" t="s">
        <v>74</v>
      </c>
      <c r="L207" t="s">
        <v>74</v>
      </c>
      <c r="M207" t="s">
        <v>78</v>
      </c>
      <c r="N207" t="s">
        <v>775</v>
      </c>
      <c r="O207" t="s">
        <v>74</v>
      </c>
      <c r="P207" t="s">
        <v>74</v>
      </c>
      <c r="Q207" t="s">
        <v>74</v>
      </c>
      <c r="R207" t="s">
        <v>74</v>
      </c>
      <c r="S207" t="s">
        <v>74</v>
      </c>
      <c r="T207" t="s">
        <v>74</v>
      </c>
      <c r="U207" t="s">
        <v>2864</v>
      </c>
      <c r="V207" t="s">
        <v>2865</v>
      </c>
      <c r="W207" t="s">
        <v>2866</v>
      </c>
      <c r="X207" t="s">
        <v>2867</v>
      </c>
      <c r="Y207" t="s">
        <v>2868</v>
      </c>
      <c r="Z207" t="s">
        <v>2869</v>
      </c>
      <c r="AA207" t="s">
        <v>2870</v>
      </c>
      <c r="AB207" t="s">
        <v>2871</v>
      </c>
      <c r="AC207" t="s">
        <v>74</v>
      </c>
      <c r="AD207" t="s">
        <v>74</v>
      </c>
      <c r="AE207" t="s">
        <v>74</v>
      </c>
      <c r="AF207" t="s">
        <v>74</v>
      </c>
      <c r="AG207">
        <v>23</v>
      </c>
      <c r="AH207">
        <v>35</v>
      </c>
      <c r="AI207">
        <v>35</v>
      </c>
      <c r="AJ207">
        <v>0</v>
      </c>
      <c r="AK207">
        <v>4</v>
      </c>
      <c r="AL207" t="s">
        <v>560</v>
      </c>
      <c r="AM207" t="s">
        <v>1168</v>
      </c>
      <c r="AN207" t="s">
        <v>2783</v>
      </c>
      <c r="AO207" t="s">
        <v>2784</v>
      </c>
      <c r="AP207" t="s">
        <v>2785</v>
      </c>
      <c r="AQ207" t="s">
        <v>74</v>
      </c>
      <c r="AR207" t="s">
        <v>2786</v>
      </c>
      <c r="AS207" t="s">
        <v>2787</v>
      </c>
      <c r="AT207" t="s">
        <v>74</v>
      </c>
      <c r="AU207">
        <v>2003</v>
      </c>
      <c r="AV207">
        <v>49</v>
      </c>
      <c r="AW207">
        <v>167</v>
      </c>
      <c r="AX207" t="s">
        <v>74</v>
      </c>
      <c r="AY207" t="s">
        <v>74</v>
      </c>
      <c r="AZ207" t="s">
        <v>74</v>
      </c>
      <c r="BA207" t="s">
        <v>74</v>
      </c>
      <c r="BB207">
        <v>481</v>
      </c>
      <c r="BC207">
        <v>490</v>
      </c>
      <c r="BD207" t="s">
        <v>74</v>
      </c>
      <c r="BE207" t="s">
        <v>2872</v>
      </c>
      <c r="BF207" t="str">
        <f>HYPERLINK("http://dx.doi.org/10.3189/172756503781830502","http://dx.doi.org/10.3189/172756503781830502")</f>
        <v>http://dx.doi.org/10.3189/172756503781830502</v>
      </c>
      <c r="BG207" t="s">
        <v>74</v>
      </c>
      <c r="BH207" t="s">
        <v>74</v>
      </c>
      <c r="BI207">
        <v>10</v>
      </c>
      <c r="BJ207" t="s">
        <v>2348</v>
      </c>
      <c r="BK207" t="s">
        <v>569</v>
      </c>
      <c r="BL207" t="s">
        <v>2349</v>
      </c>
      <c r="BM207" t="s">
        <v>2873</v>
      </c>
      <c r="BN207" t="s">
        <v>74</v>
      </c>
      <c r="BO207" t="s">
        <v>572</v>
      </c>
      <c r="BP207" t="s">
        <v>74</v>
      </c>
      <c r="BQ207" t="s">
        <v>74</v>
      </c>
      <c r="BR207" t="s">
        <v>98</v>
      </c>
      <c r="BS207" t="s">
        <v>2874</v>
      </c>
      <c r="BT207" t="str">
        <f>HYPERLINK("https%3A%2F%2Fwww.webofscience.com%2Fwos%2Fwoscc%2Ffull-record%2FWOS:000223425100002","View Full Record in Web of Science")</f>
        <v>View Full Record in Web of Science</v>
      </c>
    </row>
    <row r="208" spans="1:72" x14ac:dyDescent="0.15">
      <c r="A208" t="s">
        <v>552</v>
      </c>
      <c r="B208" t="s">
        <v>2875</v>
      </c>
      <c r="C208" t="s">
        <v>74</v>
      </c>
      <c r="D208" t="s">
        <v>74</v>
      </c>
      <c r="E208" t="s">
        <v>74</v>
      </c>
      <c r="F208" t="s">
        <v>2875</v>
      </c>
      <c r="G208" t="s">
        <v>74</v>
      </c>
      <c r="H208" t="s">
        <v>74</v>
      </c>
      <c r="I208" t="s">
        <v>2876</v>
      </c>
      <c r="J208" t="s">
        <v>2775</v>
      </c>
      <c r="K208" t="s">
        <v>74</v>
      </c>
      <c r="L208" t="s">
        <v>74</v>
      </c>
      <c r="M208" t="s">
        <v>78</v>
      </c>
      <c r="N208" t="s">
        <v>775</v>
      </c>
      <c r="O208" t="s">
        <v>74</v>
      </c>
      <c r="P208" t="s">
        <v>74</v>
      </c>
      <c r="Q208" t="s">
        <v>74</v>
      </c>
      <c r="R208" t="s">
        <v>74</v>
      </c>
      <c r="S208" t="s">
        <v>74</v>
      </c>
      <c r="T208" t="s">
        <v>74</v>
      </c>
      <c r="U208" t="s">
        <v>2877</v>
      </c>
      <c r="V208" t="s">
        <v>2878</v>
      </c>
      <c r="W208" t="s">
        <v>2879</v>
      </c>
      <c r="X208" t="s">
        <v>417</v>
      </c>
      <c r="Y208" t="s">
        <v>2880</v>
      </c>
      <c r="Z208" t="s">
        <v>2881</v>
      </c>
      <c r="AA208" t="s">
        <v>2882</v>
      </c>
      <c r="AB208" t="s">
        <v>2883</v>
      </c>
      <c r="AC208" t="s">
        <v>74</v>
      </c>
      <c r="AD208" t="s">
        <v>74</v>
      </c>
      <c r="AE208" t="s">
        <v>74</v>
      </c>
      <c r="AF208" t="s">
        <v>74</v>
      </c>
      <c r="AG208">
        <v>29</v>
      </c>
      <c r="AH208">
        <v>55</v>
      </c>
      <c r="AI208">
        <v>55</v>
      </c>
      <c r="AJ208">
        <v>0</v>
      </c>
      <c r="AK208">
        <v>4</v>
      </c>
      <c r="AL208" t="s">
        <v>2801</v>
      </c>
      <c r="AM208" t="s">
        <v>1168</v>
      </c>
      <c r="AN208" t="s">
        <v>2802</v>
      </c>
      <c r="AO208" t="s">
        <v>2784</v>
      </c>
      <c r="AP208" t="s">
        <v>74</v>
      </c>
      <c r="AQ208" t="s">
        <v>74</v>
      </c>
      <c r="AR208" t="s">
        <v>2786</v>
      </c>
      <c r="AS208" t="s">
        <v>2787</v>
      </c>
      <c r="AT208" t="s">
        <v>74</v>
      </c>
      <c r="AU208">
        <v>2003</v>
      </c>
      <c r="AV208">
        <v>49</v>
      </c>
      <c r="AW208">
        <v>167</v>
      </c>
      <c r="AX208" t="s">
        <v>74</v>
      </c>
      <c r="AY208" t="s">
        <v>74</v>
      </c>
      <c r="AZ208" t="s">
        <v>74</v>
      </c>
      <c r="BA208" t="s">
        <v>74</v>
      </c>
      <c r="BB208">
        <v>512</v>
      </c>
      <c r="BC208">
        <v>520</v>
      </c>
      <c r="BD208" t="s">
        <v>74</v>
      </c>
      <c r="BE208" t="s">
        <v>2884</v>
      </c>
      <c r="BF208" t="str">
        <f>HYPERLINK("http://dx.doi.org/10.3189/172756503781830494","http://dx.doi.org/10.3189/172756503781830494")</f>
        <v>http://dx.doi.org/10.3189/172756503781830494</v>
      </c>
      <c r="BG208" t="s">
        <v>74</v>
      </c>
      <c r="BH208" t="s">
        <v>74</v>
      </c>
      <c r="BI208">
        <v>9</v>
      </c>
      <c r="BJ208" t="s">
        <v>2348</v>
      </c>
      <c r="BK208" t="s">
        <v>569</v>
      </c>
      <c r="BL208" t="s">
        <v>2349</v>
      </c>
      <c r="BM208" t="s">
        <v>2873</v>
      </c>
      <c r="BN208" t="s">
        <v>74</v>
      </c>
      <c r="BO208" t="s">
        <v>572</v>
      </c>
      <c r="BP208" t="s">
        <v>74</v>
      </c>
      <c r="BQ208" t="s">
        <v>74</v>
      </c>
      <c r="BR208" t="s">
        <v>98</v>
      </c>
      <c r="BS208" t="s">
        <v>2885</v>
      </c>
      <c r="BT208" t="str">
        <f>HYPERLINK("https%3A%2F%2Fwww.webofscience.com%2Fwos%2Fwoscc%2Ffull-record%2FWOS:000223425100005","View Full Record in Web of Science")</f>
        <v>View Full Record in Web of Science</v>
      </c>
    </row>
    <row r="209" spans="1:72" x14ac:dyDescent="0.15">
      <c r="A209" t="s">
        <v>552</v>
      </c>
      <c r="B209" t="s">
        <v>2886</v>
      </c>
      <c r="C209" t="s">
        <v>74</v>
      </c>
      <c r="D209" t="s">
        <v>74</v>
      </c>
      <c r="E209" t="s">
        <v>74</v>
      </c>
      <c r="F209" t="s">
        <v>2886</v>
      </c>
      <c r="G209" t="s">
        <v>74</v>
      </c>
      <c r="H209" t="s">
        <v>74</v>
      </c>
      <c r="I209" t="s">
        <v>2887</v>
      </c>
      <c r="J209" t="s">
        <v>2775</v>
      </c>
      <c r="K209" t="s">
        <v>74</v>
      </c>
      <c r="L209" t="s">
        <v>74</v>
      </c>
      <c r="M209" t="s">
        <v>78</v>
      </c>
      <c r="N209" t="s">
        <v>775</v>
      </c>
      <c r="O209" t="s">
        <v>74</v>
      </c>
      <c r="P209" t="s">
        <v>74</v>
      </c>
      <c r="Q209" t="s">
        <v>74</v>
      </c>
      <c r="R209" t="s">
        <v>74</v>
      </c>
      <c r="S209" t="s">
        <v>74</v>
      </c>
      <c r="T209" t="s">
        <v>74</v>
      </c>
      <c r="U209" t="s">
        <v>2888</v>
      </c>
      <c r="V209" t="s">
        <v>2889</v>
      </c>
      <c r="W209" t="s">
        <v>2890</v>
      </c>
      <c r="X209" t="s">
        <v>2891</v>
      </c>
      <c r="Y209" t="s">
        <v>626</v>
      </c>
      <c r="Z209" t="s">
        <v>627</v>
      </c>
      <c r="AA209" t="s">
        <v>2892</v>
      </c>
      <c r="AB209" t="s">
        <v>2893</v>
      </c>
      <c r="AC209" t="s">
        <v>74</v>
      </c>
      <c r="AD209" t="s">
        <v>74</v>
      </c>
      <c r="AE209" t="s">
        <v>74</v>
      </c>
      <c r="AF209" t="s">
        <v>74</v>
      </c>
      <c r="AG209">
        <v>19</v>
      </c>
      <c r="AH209">
        <v>49</v>
      </c>
      <c r="AI209">
        <v>56</v>
      </c>
      <c r="AJ209">
        <v>0</v>
      </c>
      <c r="AK209">
        <v>3</v>
      </c>
      <c r="AL209" t="s">
        <v>2801</v>
      </c>
      <c r="AM209" t="s">
        <v>1168</v>
      </c>
      <c r="AN209" t="s">
        <v>2802</v>
      </c>
      <c r="AO209" t="s">
        <v>2784</v>
      </c>
      <c r="AP209" t="s">
        <v>74</v>
      </c>
      <c r="AQ209" t="s">
        <v>74</v>
      </c>
      <c r="AR209" t="s">
        <v>2786</v>
      </c>
      <c r="AS209" t="s">
        <v>2787</v>
      </c>
      <c r="AT209" t="s">
        <v>74</v>
      </c>
      <c r="AU209">
        <v>2003</v>
      </c>
      <c r="AV209">
        <v>49</v>
      </c>
      <c r="AW209">
        <v>167</v>
      </c>
      <c r="AX209" t="s">
        <v>74</v>
      </c>
      <c r="AY209" t="s">
        <v>74</v>
      </c>
      <c r="AZ209" t="s">
        <v>74</v>
      </c>
      <c r="BA209" t="s">
        <v>74</v>
      </c>
      <c r="BB209">
        <v>521</v>
      </c>
      <c r="BC209">
        <v>526</v>
      </c>
      <c r="BD209" t="s">
        <v>74</v>
      </c>
      <c r="BE209" t="s">
        <v>2894</v>
      </c>
      <c r="BF209" t="str">
        <f>HYPERLINK("http://dx.doi.org/10.3189/172756503781830386","http://dx.doi.org/10.3189/172756503781830386")</f>
        <v>http://dx.doi.org/10.3189/172756503781830386</v>
      </c>
      <c r="BG209" t="s">
        <v>74</v>
      </c>
      <c r="BH209" t="s">
        <v>74</v>
      </c>
      <c r="BI209">
        <v>6</v>
      </c>
      <c r="BJ209" t="s">
        <v>2348</v>
      </c>
      <c r="BK209" t="s">
        <v>569</v>
      </c>
      <c r="BL209" t="s">
        <v>2349</v>
      </c>
      <c r="BM209" t="s">
        <v>2873</v>
      </c>
      <c r="BN209" t="s">
        <v>74</v>
      </c>
      <c r="BO209" t="s">
        <v>572</v>
      </c>
      <c r="BP209" t="s">
        <v>74</v>
      </c>
      <c r="BQ209" t="s">
        <v>74</v>
      </c>
      <c r="BR209" t="s">
        <v>98</v>
      </c>
      <c r="BS209" t="s">
        <v>2895</v>
      </c>
      <c r="BT209" t="str">
        <f>HYPERLINK("https%3A%2F%2Fwww.webofscience.com%2Fwos%2Fwoscc%2Ffull-record%2FWOS:000223425100006","View Full Record in Web of Science")</f>
        <v>View Full Record in Web of Science</v>
      </c>
    </row>
    <row r="210" spans="1:72" x14ac:dyDescent="0.15">
      <c r="A210" t="s">
        <v>552</v>
      </c>
      <c r="B210" t="s">
        <v>2896</v>
      </c>
      <c r="C210" t="s">
        <v>74</v>
      </c>
      <c r="D210" t="s">
        <v>74</v>
      </c>
      <c r="E210" t="s">
        <v>74</v>
      </c>
      <c r="F210" t="s">
        <v>2896</v>
      </c>
      <c r="G210" t="s">
        <v>74</v>
      </c>
      <c r="H210" t="s">
        <v>74</v>
      </c>
      <c r="I210" t="s">
        <v>2897</v>
      </c>
      <c r="J210" t="s">
        <v>2775</v>
      </c>
      <c r="K210" t="s">
        <v>74</v>
      </c>
      <c r="L210" t="s">
        <v>74</v>
      </c>
      <c r="M210" t="s">
        <v>78</v>
      </c>
      <c r="N210" t="s">
        <v>775</v>
      </c>
      <c r="O210" t="s">
        <v>74</v>
      </c>
      <c r="P210" t="s">
        <v>74</v>
      </c>
      <c r="Q210" t="s">
        <v>74</v>
      </c>
      <c r="R210" t="s">
        <v>74</v>
      </c>
      <c r="S210" t="s">
        <v>74</v>
      </c>
      <c r="T210" t="s">
        <v>74</v>
      </c>
      <c r="U210" t="s">
        <v>74</v>
      </c>
      <c r="V210" t="s">
        <v>2898</v>
      </c>
      <c r="W210" t="s">
        <v>2899</v>
      </c>
      <c r="X210" t="s">
        <v>2900</v>
      </c>
      <c r="Y210" t="s">
        <v>2901</v>
      </c>
      <c r="Z210" t="s">
        <v>2902</v>
      </c>
      <c r="AA210" t="s">
        <v>2903</v>
      </c>
      <c r="AB210" t="s">
        <v>74</v>
      </c>
      <c r="AC210" t="s">
        <v>74</v>
      </c>
      <c r="AD210" t="s">
        <v>74</v>
      </c>
      <c r="AE210" t="s">
        <v>74</v>
      </c>
      <c r="AF210" t="s">
        <v>74</v>
      </c>
      <c r="AG210">
        <v>12</v>
      </c>
      <c r="AH210">
        <v>37</v>
      </c>
      <c r="AI210">
        <v>41</v>
      </c>
      <c r="AJ210">
        <v>0</v>
      </c>
      <c r="AK210">
        <v>7</v>
      </c>
      <c r="AL210" t="s">
        <v>560</v>
      </c>
      <c r="AM210" t="s">
        <v>1168</v>
      </c>
      <c r="AN210" t="s">
        <v>2783</v>
      </c>
      <c r="AO210" t="s">
        <v>2784</v>
      </c>
      <c r="AP210" t="s">
        <v>2785</v>
      </c>
      <c r="AQ210" t="s">
        <v>74</v>
      </c>
      <c r="AR210" t="s">
        <v>2786</v>
      </c>
      <c r="AS210" t="s">
        <v>2787</v>
      </c>
      <c r="AT210" t="s">
        <v>74</v>
      </c>
      <c r="AU210">
        <v>2003</v>
      </c>
      <c r="AV210">
        <v>49</v>
      </c>
      <c r="AW210">
        <v>167</v>
      </c>
      <c r="AX210" t="s">
        <v>74</v>
      </c>
      <c r="AY210" t="s">
        <v>74</v>
      </c>
      <c r="AZ210" t="s">
        <v>74</v>
      </c>
      <c r="BA210" t="s">
        <v>74</v>
      </c>
      <c r="BB210">
        <v>599</v>
      </c>
      <c r="BC210">
        <v>604</v>
      </c>
      <c r="BD210" t="s">
        <v>74</v>
      </c>
      <c r="BE210" t="s">
        <v>2904</v>
      </c>
      <c r="BF210" t="str">
        <f>HYPERLINK("http://dx.doi.org/10.3189/172756503781830403","http://dx.doi.org/10.3189/172756503781830403")</f>
        <v>http://dx.doi.org/10.3189/172756503781830403</v>
      </c>
      <c r="BG210" t="s">
        <v>74</v>
      </c>
      <c r="BH210" t="s">
        <v>74</v>
      </c>
      <c r="BI210">
        <v>6</v>
      </c>
      <c r="BJ210" t="s">
        <v>2348</v>
      </c>
      <c r="BK210" t="s">
        <v>569</v>
      </c>
      <c r="BL210" t="s">
        <v>2349</v>
      </c>
      <c r="BM210" t="s">
        <v>2873</v>
      </c>
      <c r="BN210" t="s">
        <v>74</v>
      </c>
      <c r="BO210" t="s">
        <v>572</v>
      </c>
      <c r="BP210" t="s">
        <v>74</v>
      </c>
      <c r="BQ210" t="s">
        <v>74</v>
      </c>
      <c r="BR210" t="s">
        <v>98</v>
      </c>
      <c r="BS210" t="s">
        <v>2905</v>
      </c>
      <c r="BT210" t="str">
        <f>HYPERLINK("https%3A%2F%2Fwww.webofscience.com%2Fwos%2Fwoscc%2Ffull-record%2FWOS:000223425100014","View Full Record in Web of Science")</f>
        <v>View Full Record in Web of Science</v>
      </c>
    </row>
    <row r="211" spans="1:72" x14ac:dyDescent="0.15">
      <c r="A211" t="s">
        <v>552</v>
      </c>
      <c r="B211" t="s">
        <v>2906</v>
      </c>
      <c r="C211" t="s">
        <v>74</v>
      </c>
      <c r="D211" t="s">
        <v>74</v>
      </c>
      <c r="E211" t="s">
        <v>74</v>
      </c>
      <c r="F211" t="s">
        <v>2906</v>
      </c>
      <c r="G211" t="s">
        <v>74</v>
      </c>
      <c r="H211" t="s">
        <v>74</v>
      </c>
      <c r="I211" t="s">
        <v>2907</v>
      </c>
      <c r="J211" t="s">
        <v>2908</v>
      </c>
      <c r="K211" t="s">
        <v>74</v>
      </c>
      <c r="L211" t="s">
        <v>74</v>
      </c>
      <c r="M211" t="s">
        <v>78</v>
      </c>
      <c r="N211" t="s">
        <v>775</v>
      </c>
      <c r="O211" t="s">
        <v>74</v>
      </c>
      <c r="P211" t="s">
        <v>74</v>
      </c>
      <c r="Q211" t="s">
        <v>74</v>
      </c>
      <c r="R211" t="s">
        <v>74</v>
      </c>
      <c r="S211" t="s">
        <v>74</v>
      </c>
      <c r="T211" t="s">
        <v>2909</v>
      </c>
      <c r="U211" t="s">
        <v>2910</v>
      </c>
      <c r="V211" t="s">
        <v>2911</v>
      </c>
      <c r="W211" t="s">
        <v>2912</v>
      </c>
      <c r="X211" t="s">
        <v>2913</v>
      </c>
      <c r="Y211" t="s">
        <v>2914</v>
      </c>
      <c r="Z211" t="s">
        <v>2915</v>
      </c>
      <c r="AA211" t="s">
        <v>2916</v>
      </c>
      <c r="AB211" t="s">
        <v>2917</v>
      </c>
      <c r="AC211" t="s">
        <v>74</v>
      </c>
      <c r="AD211" t="s">
        <v>74</v>
      </c>
      <c r="AE211" t="s">
        <v>74</v>
      </c>
      <c r="AF211" t="s">
        <v>74</v>
      </c>
      <c r="AG211">
        <v>53</v>
      </c>
      <c r="AH211">
        <v>54</v>
      </c>
      <c r="AI211">
        <v>59</v>
      </c>
      <c r="AJ211">
        <v>1</v>
      </c>
      <c r="AK211">
        <v>17</v>
      </c>
      <c r="AL211" t="s">
        <v>806</v>
      </c>
      <c r="AM211" t="s">
        <v>807</v>
      </c>
      <c r="AN211" t="s">
        <v>808</v>
      </c>
      <c r="AO211" t="s">
        <v>2918</v>
      </c>
      <c r="AP211" t="s">
        <v>2919</v>
      </c>
      <c r="AQ211" t="s">
        <v>74</v>
      </c>
      <c r="AR211" t="s">
        <v>2920</v>
      </c>
      <c r="AS211" t="s">
        <v>2921</v>
      </c>
      <c r="AT211" t="s">
        <v>566</v>
      </c>
      <c r="AU211">
        <v>2003</v>
      </c>
      <c r="AV211">
        <v>49</v>
      </c>
      <c r="AW211">
        <v>1</v>
      </c>
      <c r="AX211" t="s">
        <v>74</v>
      </c>
      <c r="AY211" t="s">
        <v>74</v>
      </c>
      <c r="AZ211" t="s">
        <v>74</v>
      </c>
      <c r="BA211" t="s">
        <v>74</v>
      </c>
      <c r="BB211">
        <v>45</v>
      </c>
      <c r="BC211">
        <v>52</v>
      </c>
      <c r="BD211" t="s">
        <v>74</v>
      </c>
      <c r="BE211" t="s">
        <v>2922</v>
      </c>
      <c r="BF211" t="str">
        <f>HYPERLINK("http://dx.doi.org/10.1016/S0022-1910(02)00225-1","http://dx.doi.org/10.1016/S0022-1910(02)00225-1")</f>
        <v>http://dx.doi.org/10.1016/S0022-1910(02)00225-1</v>
      </c>
      <c r="BG211" t="s">
        <v>74</v>
      </c>
      <c r="BH211" t="s">
        <v>74</v>
      </c>
      <c r="BI211">
        <v>8</v>
      </c>
      <c r="BJ211" t="s">
        <v>2923</v>
      </c>
      <c r="BK211" t="s">
        <v>569</v>
      </c>
      <c r="BL211" t="s">
        <v>2923</v>
      </c>
      <c r="BM211" t="s">
        <v>2924</v>
      </c>
      <c r="BN211">
        <v>12770015</v>
      </c>
      <c r="BO211" t="s">
        <v>74</v>
      </c>
      <c r="BP211" t="s">
        <v>74</v>
      </c>
      <c r="BQ211" t="s">
        <v>74</v>
      </c>
      <c r="BR211" t="s">
        <v>98</v>
      </c>
      <c r="BS211" t="s">
        <v>2925</v>
      </c>
      <c r="BT211" t="str">
        <f>HYPERLINK("https%3A%2F%2Fwww.webofscience.com%2Fwos%2Fwoscc%2Ffull-record%2FWOS:000181248200006","View Full Record in Web of Science")</f>
        <v>View Full Record in Web of Science</v>
      </c>
    </row>
    <row r="212" spans="1:72" x14ac:dyDescent="0.15">
      <c r="A212" t="s">
        <v>552</v>
      </c>
      <c r="B212" t="s">
        <v>2926</v>
      </c>
      <c r="C212" t="s">
        <v>74</v>
      </c>
      <c r="D212" t="s">
        <v>74</v>
      </c>
      <c r="E212" t="s">
        <v>74</v>
      </c>
      <c r="F212" t="s">
        <v>2926</v>
      </c>
      <c r="G212" t="s">
        <v>74</v>
      </c>
      <c r="H212" t="s">
        <v>74</v>
      </c>
      <c r="I212" t="s">
        <v>2927</v>
      </c>
      <c r="J212" t="s">
        <v>2928</v>
      </c>
      <c r="K212" t="s">
        <v>74</v>
      </c>
      <c r="L212" t="s">
        <v>74</v>
      </c>
      <c r="M212" t="s">
        <v>78</v>
      </c>
      <c r="N212" t="s">
        <v>775</v>
      </c>
      <c r="O212" t="s">
        <v>74</v>
      </c>
      <c r="P212" t="s">
        <v>74</v>
      </c>
      <c r="Q212" t="s">
        <v>74</v>
      </c>
      <c r="R212" t="s">
        <v>74</v>
      </c>
      <c r="S212" t="s">
        <v>74</v>
      </c>
      <c r="T212" t="s">
        <v>74</v>
      </c>
      <c r="U212" t="s">
        <v>2929</v>
      </c>
      <c r="V212" t="s">
        <v>2930</v>
      </c>
      <c r="W212" t="s">
        <v>2931</v>
      </c>
      <c r="X212" t="s">
        <v>1694</v>
      </c>
      <c r="Y212" t="s">
        <v>2932</v>
      </c>
      <c r="Z212" t="s">
        <v>2933</v>
      </c>
      <c r="AA212" t="s">
        <v>74</v>
      </c>
      <c r="AB212" t="s">
        <v>74</v>
      </c>
      <c r="AC212" t="s">
        <v>74</v>
      </c>
      <c r="AD212" t="s">
        <v>74</v>
      </c>
      <c r="AE212" t="s">
        <v>74</v>
      </c>
      <c r="AF212" t="s">
        <v>74</v>
      </c>
      <c r="AG212">
        <v>50</v>
      </c>
      <c r="AH212">
        <v>91</v>
      </c>
      <c r="AI212">
        <v>106</v>
      </c>
      <c r="AJ212">
        <v>0</v>
      </c>
      <c r="AK212">
        <v>13</v>
      </c>
      <c r="AL212" t="s">
        <v>2934</v>
      </c>
      <c r="AM212" t="s">
        <v>2935</v>
      </c>
      <c r="AN212" t="s">
        <v>2936</v>
      </c>
      <c r="AO212" t="s">
        <v>2937</v>
      </c>
      <c r="AP212" t="s">
        <v>2938</v>
      </c>
      <c r="AQ212" t="s">
        <v>74</v>
      </c>
      <c r="AR212" t="s">
        <v>2939</v>
      </c>
      <c r="AS212" t="s">
        <v>2940</v>
      </c>
      <c r="AT212" t="s">
        <v>566</v>
      </c>
      <c r="AU212">
        <v>2003</v>
      </c>
      <c r="AV212">
        <v>61</v>
      </c>
      <c r="AW212">
        <v>1</v>
      </c>
      <c r="AX212" t="s">
        <v>74</v>
      </c>
      <c r="AY212" t="s">
        <v>74</v>
      </c>
      <c r="AZ212" t="s">
        <v>74</v>
      </c>
      <c r="BA212" t="s">
        <v>74</v>
      </c>
      <c r="BB212">
        <v>27</v>
      </c>
      <c r="BC212">
        <v>57</v>
      </c>
      <c r="BD212" t="s">
        <v>74</v>
      </c>
      <c r="BE212" t="s">
        <v>2941</v>
      </c>
      <c r="BF212" t="str">
        <f>HYPERLINK("http://dx.doi.org/10.1357/002224003321586408","http://dx.doi.org/10.1357/002224003321586408")</f>
        <v>http://dx.doi.org/10.1357/002224003321586408</v>
      </c>
      <c r="BG212" t="s">
        <v>74</v>
      </c>
      <c r="BH212" t="s">
        <v>74</v>
      </c>
      <c r="BI212">
        <v>31</v>
      </c>
      <c r="BJ212" t="s">
        <v>1394</v>
      </c>
      <c r="BK212" t="s">
        <v>569</v>
      </c>
      <c r="BL212" t="s">
        <v>1394</v>
      </c>
      <c r="BM212" t="s">
        <v>2942</v>
      </c>
      <c r="BN212" t="s">
        <v>74</v>
      </c>
      <c r="BO212" t="s">
        <v>74</v>
      </c>
      <c r="BP212" t="s">
        <v>74</v>
      </c>
      <c r="BQ212" t="s">
        <v>74</v>
      </c>
      <c r="BR212" t="s">
        <v>98</v>
      </c>
      <c r="BS212" t="s">
        <v>2943</v>
      </c>
      <c r="BT212" t="str">
        <f>HYPERLINK("https%3A%2F%2Fwww.webofscience.com%2Fwos%2Fwoscc%2Ffull-record%2FWOS:000182629700002","View Full Record in Web of Science")</f>
        <v>View Full Record in Web of Science</v>
      </c>
    </row>
    <row r="213" spans="1:72" x14ac:dyDescent="0.15">
      <c r="A213" t="s">
        <v>552</v>
      </c>
      <c r="B213" t="s">
        <v>2944</v>
      </c>
      <c r="C213" t="s">
        <v>74</v>
      </c>
      <c r="D213" t="s">
        <v>74</v>
      </c>
      <c r="E213" t="s">
        <v>74</v>
      </c>
      <c r="F213" t="s">
        <v>2944</v>
      </c>
      <c r="G213" t="s">
        <v>74</v>
      </c>
      <c r="H213" t="s">
        <v>74</v>
      </c>
      <c r="I213" t="s">
        <v>2945</v>
      </c>
      <c r="J213" t="s">
        <v>2946</v>
      </c>
      <c r="K213" t="s">
        <v>74</v>
      </c>
      <c r="L213" t="s">
        <v>74</v>
      </c>
      <c r="M213" t="s">
        <v>78</v>
      </c>
      <c r="N213" t="s">
        <v>576</v>
      </c>
      <c r="O213" t="s">
        <v>2947</v>
      </c>
      <c r="P213" t="s">
        <v>2948</v>
      </c>
      <c r="Q213" t="s">
        <v>2949</v>
      </c>
      <c r="R213" t="s">
        <v>74</v>
      </c>
      <c r="S213" t="s">
        <v>74</v>
      </c>
      <c r="T213" t="s">
        <v>2950</v>
      </c>
      <c r="U213" t="s">
        <v>2951</v>
      </c>
      <c r="V213" t="s">
        <v>2952</v>
      </c>
      <c r="W213" t="s">
        <v>2953</v>
      </c>
      <c r="X213" t="s">
        <v>2954</v>
      </c>
      <c r="Y213" t="s">
        <v>2955</v>
      </c>
      <c r="Z213" t="s">
        <v>2956</v>
      </c>
      <c r="AA213" t="s">
        <v>2957</v>
      </c>
      <c r="AB213" t="s">
        <v>2958</v>
      </c>
      <c r="AC213" t="s">
        <v>74</v>
      </c>
      <c r="AD213" t="s">
        <v>74</v>
      </c>
      <c r="AE213" t="s">
        <v>74</v>
      </c>
      <c r="AF213" t="s">
        <v>74</v>
      </c>
      <c r="AG213">
        <v>33</v>
      </c>
      <c r="AH213">
        <v>19</v>
      </c>
      <c r="AI213">
        <v>21</v>
      </c>
      <c r="AJ213">
        <v>0</v>
      </c>
      <c r="AK213">
        <v>12</v>
      </c>
      <c r="AL213" t="s">
        <v>1230</v>
      </c>
      <c r="AM213" t="s">
        <v>561</v>
      </c>
      <c r="AN213" t="s">
        <v>2959</v>
      </c>
      <c r="AO213" t="s">
        <v>2960</v>
      </c>
      <c r="AP213" t="s">
        <v>2961</v>
      </c>
      <c r="AQ213" t="s">
        <v>74</v>
      </c>
      <c r="AR213" t="s">
        <v>2962</v>
      </c>
      <c r="AS213" t="s">
        <v>2963</v>
      </c>
      <c r="AT213" t="s">
        <v>74</v>
      </c>
      <c r="AU213">
        <v>2003</v>
      </c>
      <c r="AV213">
        <v>57</v>
      </c>
      <c r="AW213" t="s">
        <v>74</v>
      </c>
      <c r="AX213" t="s">
        <v>74</v>
      </c>
      <c r="AY213">
        <v>1</v>
      </c>
      <c r="AZ213" t="s">
        <v>74</v>
      </c>
      <c r="BA213" t="s">
        <v>74</v>
      </c>
      <c r="BB213" t="s">
        <v>2964</v>
      </c>
      <c r="BC213" t="s">
        <v>2965</v>
      </c>
      <c r="BD213" t="s">
        <v>74</v>
      </c>
      <c r="BE213" t="s">
        <v>2966</v>
      </c>
      <c r="BF213" t="str">
        <f>HYPERLINK("http://dx.doi.org/10.1007/s00239-003-0034-z","http://dx.doi.org/10.1007/s00239-003-0034-z")</f>
        <v>http://dx.doi.org/10.1007/s00239-003-0034-z</v>
      </c>
      <c r="BG213" t="s">
        <v>74</v>
      </c>
      <c r="BH213" t="s">
        <v>74</v>
      </c>
      <c r="BI213">
        <v>8</v>
      </c>
      <c r="BJ213" t="s">
        <v>2967</v>
      </c>
      <c r="BK213" t="s">
        <v>605</v>
      </c>
      <c r="BL213" t="s">
        <v>2967</v>
      </c>
      <c r="BM213" t="s">
        <v>2968</v>
      </c>
      <c r="BN213">
        <v>15008422</v>
      </c>
      <c r="BO213" t="s">
        <v>74</v>
      </c>
      <c r="BP213" t="s">
        <v>74</v>
      </c>
      <c r="BQ213" t="s">
        <v>74</v>
      </c>
      <c r="BR213" t="s">
        <v>98</v>
      </c>
      <c r="BS213" t="s">
        <v>2969</v>
      </c>
      <c r="BT213" t="str">
        <f>HYPERLINK("https%3A%2F%2Fwww.webofscience.com%2Fwos%2Fwoscc%2Ffull-record%2FWOS:000186396000026","View Full Record in Web of Science")</f>
        <v>View Full Record in Web of Science</v>
      </c>
    </row>
    <row r="214" spans="1:72" x14ac:dyDescent="0.15">
      <c r="A214" t="s">
        <v>552</v>
      </c>
      <c r="B214" t="s">
        <v>2970</v>
      </c>
      <c r="C214" t="s">
        <v>74</v>
      </c>
      <c r="D214" t="s">
        <v>74</v>
      </c>
      <c r="E214" t="s">
        <v>74</v>
      </c>
      <c r="F214" t="s">
        <v>2970</v>
      </c>
      <c r="G214" t="s">
        <v>74</v>
      </c>
      <c r="H214" t="s">
        <v>74</v>
      </c>
      <c r="I214" t="s">
        <v>2971</v>
      </c>
      <c r="J214" t="s">
        <v>2946</v>
      </c>
      <c r="K214" t="s">
        <v>74</v>
      </c>
      <c r="L214" t="s">
        <v>74</v>
      </c>
      <c r="M214" t="s">
        <v>78</v>
      </c>
      <c r="N214" t="s">
        <v>576</v>
      </c>
      <c r="O214" t="s">
        <v>2947</v>
      </c>
      <c r="P214" t="s">
        <v>2948</v>
      </c>
      <c r="Q214" t="s">
        <v>2949</v>
      </c>
      <c r="R214" t="s">
        <v>74</v>
      </c>
      <c r="S214" t="s">
        <v>74</v>
      </c>
      <c r="T214" t="s">
        <v>2972</v>
      </c>
      <c r="U214" t="s">
        <v>2973</v>
      </c>
      <c r="V214" t="s">
        <v>2974</v>
      </c>
      <c r="W214" t="s">
        <v>180</v>
      </c>
      <c r="X214" t="s">
        <v>181</v>
      </c>
      <c r="Y214" t="s">
        <v>2975</v>
      </c>
      <c r="Z214" t="s">
        <v>74</v>
      </c>
      <c r="AA214" t="s">
        <v>74</v>
      </c>
      <c r="AB214" t="s">
        <v>2976</v>
      </c>
      <c r="AC214" t="s">
        <v>74</v>
      </c>
      <c r="AD214" t="s">
        <v>74</v>
      </c>
      <c r="AE214" t="s">
        <v>74</v>
      </c>
      <c r="AF214" t="s">
        <v>74</v>
      </c>
      <c r="AG214">
        <v>31</v>
      </c>
      <c r="AH214">
        <v>15</v>
      </c>
      <c r="AI214">
        <v>16</v>
      </c>
      <c r="AJ214">
        <v>0</v>
      </c>
      <c r="AK214">
        <v>4</v>
      </c>
      <c r="AL214" t="s">
        <v>1259</v>
      </c>
      <c r="AM214" t="s">
        <v>561</v>
      </c>
      <c r="AN214" t="s">
        <v>1260</v>
      </c>
      <c r="AO214" t="s">
        <v>2960</v>
      </c>
      <c r="AP214" t="s">
        <v>74</v>
      </c>
      <c r="AQ214" t="s">
        <v>74</v>
      </c>
      <c r="AR214" t="s">
        <v>2962</v>
      </c>
      <c r="AS214" t="s">
        <v>2963</v>
      </c>
      <c r="AT214" t="s">
        <v>74</v>
      </c>
      <c r="AU214">
        <v>2003</v>
      </c>
      <c r="AV214">
        <v>57</v>
      </c>
      <c r="AW214" t="s">
        <v>74</v>
      </c>
      <c r="AX214" t="s">
        <v>74</v>
      </c>
      <c r="AY214">
        <v>1</v>
      </c>
      <c r="AZ214" t="s">
        <v>74</v>
      </c>
      <c r="BA214" t="s">
        <v>74</v>
      </c>
      <c r="BB214" t="s">
        <v>2977</v>
      </c>
      <c r="BC214" t="s">
        <v>2978</v>
      </c>
      <c r="BD214" t="s">
        <v>74</v>
      </c>
      <c r="BE214" t="s">
        <v>2979</v>
      </c>
      <c r="BF214" t="str">
        <f>HYPERLINK("http://dx.doi.org/10.1007/s00239-003-0035-y","http://dx.doi.org/10.1007/s00239-003-0035-y")</f>
        <v>http://dx.doi.org/10.1007/s00239-003-0035-y</v>
      </c>
      <c r="BG214" t="s">
        <v>74</v>
      </c>
      <c r="BH214" t="s">
        <v>74</v>
      </c>
      <c r="BI214">
        <v>10</v>
      </c>
      <c r="BJ214" t="s">
        <v>2967</v>
      </c>
      <c r="BK214" t="s">
        <v>589</v>
      </c>
      <c r="BL214" t="s">
        <v>2967</v>
      </c>
      <c r="BM214" t="s">
        <v>2968</v>
      </c>
      <c r="BN214">
        <v>15008423</v>
      </c>
      <c r="BO214" t="s">
        <v>74</v>
      </c>
      <c r="BP214" t="s">
        <v>74</v>
      </c>
      <c r="BQ214" t="s">
        <v>74</v>
      </c>
      <c r="BR214" t="s">
        <v>98</v>
      </c>
      <c r="BS214" t="s">
        <v>2980</v>
      </c>
      <c r="BT214" t="str">
        <f>HYPERLINK("https%3A%2F%2Fwww.webofscience.com%2Fwos%2Fwoscc%2Ffull-record%2FWOS:000186396000027","View Full Record in Web of Science")</f>
        <v>View Full Record in Web of Science</v>
      </c>
    </row>
    <row r="215" spans="1:72" x14ac:dyDescent="0.15">
      <c r="A215" t="s">
        <v>552</v>
      </c>
      <c r="B215" t="s">
        <v>2981</v>
      </c>
      <c r="C215" t="s">
        <v>74</v>
      </c>
      <c r="D215" t="s">
        <v>74</v>
      </c>
      <c r="E215" t="s">
        <v>74</v>
      </c>
      <c r="F215" t="s">
        <v>2981</v>
      </c>
      <c r="G215" t="s">
        <v>74</v>
      </c>
      <c r="H215" t="s">
        <v>74</v>
      </c>
      <c r="I215" t="s">
        <v>2982</v>
      </c>
      <c r="J215" t="s">
        <v>2983</v>
      </c>
      <c r="K215" t="s">
        <v>74</v>
      </c>
      <c r="L215" t="s">
        <v>74</v>
      </c>
      <c r="M215" t="s">
        <v>78</v>
      </c>
      <c r="N215" t="s">
        <v>1987</v>
      </c>
      <c r="O215" t="s">
        <v>74</v>
      </c>
      <c r="P215" t="s">
        <v>74</v>
      </c>
      <c r="Q215" t="s">
        <v>74</v>
      </c>
      <c r="R215" t="s">
        <v>74</v>
      </c>
      <c r="S215" t="s">
        <v>74</v>
      </c>
      <c r="T215" t="s">
        <v>74</v>
      </c>
      <c r="U215" t="s">
        <v>2984</v>
      </c>
      <c r="V215" t="s">
        <v>74</v>
      </c>
      <c r="W215" t="s">
        <v>2985</v>
      </c>
      <c r="X215" t="s">
        <v>2986</v>
      </c>
      <c r="Y215" t="s">
        <v>2987</v>
      </c>
      <c r="Z215" t="s">
        <v>74</v>
      </c>
      <c r="AA215" t="s">
        <v>2988</v>
      </c>
      <c r="AB215" t="s">
        <v>2989</v>
      </c>
      <c r="AC215" t="s">
        <v>74</v>
      </c>
      <c r="AD215" t="s">
        <v>74</v>
      </c>
      <c r="AE215" t="s">
        <v>74</v>
      </c>
      <c r="AF215" t="s">
        <v>74</v>
      </c>
      <c r="AG215">
        <v>11</v>
      </c>
      <c r="AH215">
        <v>11</v>
      </c>
      <c r="AI215">
        <v>13</v>
      </c>
      <c r="AJ215">
        <v>0</v>
      </c>
      <c r="AK215">
        <v>1</v>
      </c>
      <c r="AL215" t="s">
        <v>2990</v>
      </c>
      <c r="AM215" t="s">
        <v>2991</v>
      </c>
      <c r="AN215" t="s">
        <v>2992</v>
      </c>
      <c r="AO215" t="s">
        <v>2993</v>
      </c>
      <c r="AP215" t="s">
        <v>74</v>
      </c>
      <c r="AQ215" t="s">
        <v>74</v>
      </c>
      <c r="AR215" t="s">
        <v>2994</v>
      </c>
      <c r="AS215" t="s">
        <v>2995</v>
      </c>
      <c r="AT215" t="s">
        <v>566</v>
      </c>
      <c r="AU215">
        <v>2003</v>
      </c>
      <c r="AV215">
        <v>18</v>
      </c>
      <c r="AW215">
        <v>1</v>
      </c>
      <c r="AX215" t="s">
        <v>74</v>
      </c>
      <c r="AY215" t="s">
        <v>74</v>
      </c>
      <c r="AZ215" t="s">
        <v>74</v>
      </c>
      <c r="BA215" t="s">
        <v>74</v>
      </c>
      <c r="BB215">
        <v>99</v>
      </c>
      <c r="BC215">
        <v>100</v>
      </c>
      <c r="BD215" t="s">
        <v>74</v>
      </c>
      <c r="BE215" t="s">
        <v>2996</v>
      </c>
      <c r="BF215" t="str">
        <f>HYPERLINK("http://dx.doi.org/10.1002/jqs.736","http://dx.doi.org/10.1002/jqs.736")</f>
        <v>http://dx.doi.org/10.1002/jqs.736</v>
      </c>
      <c r="BG215" t="s">
        <v>74</v>
      </c>
      <c r="BH215" t="s">
        <v>74</v>
      </c>
      <c r="BI215">
        <v>2</v>
      </c>
      <c r="BJ215" t="s">
        <v>2348</v>
      </c>
      <c r="BK215" t="s">
        <v>569</v>
      </c>
      <c r="BL215" t="s">
        <v>2349</v>
      </c>
      <c r="BM215" t="s">
        <v>2997</v>
      </c>
      <c r="BN215" t="s">
        <v>74</v>
      </c>
      <c r="BO215" t="s">
        <v>74</v>
      </c>
      <c r="BP215" t="s">
        <v>74</v>
      </c>
      <c r="BQ215" t="s">
        <v>74</v>
      </c>
      <c r="BR215" t="s">
        <v>98</v>
      </c>
      <c r="BS215" t="s">
        <v>2998</v>
      </c>
      <c r="BT215" t="str">
        <f>HYPERLINK("https%3A%2F%2Fwww.webofscience.com%2Fwos%2Fwoscc%2Ffull-record%2FWOS:000180962300009","View Full Record in Web of Science")</f>
        <v>View Full Record in Web of Science</v>
      </c>
    </row>
    <row r="216" spans="1:72" x14ac:dyDescent="0.15">
      <c r="A216" t="s">
        <v>552</v>
      </c>
      <c r="B216" t="s">
        <v>2999</v>
      </c>
      <c r="C216" t="s">
        <v>74</v>
      </c>
      <c r="D216" t="s">
        <v>74</v>
      </c>
      <c r="E216" t="s">
        <v>74</v>
      </c>
      <c r="F216" t="s">
        <v>2999</v>
      </c>
      <c r="G216" t="s">
        <v>74</v>
      </c>
      <c r="H216" t="s">
        <v>74</v>
      </c>
      <c r="I216" t="s">
        <v>3000</v>
      </c>
      <c r="J216" t="s">
        <v>3001</v>
      </c>
      <c r="K216" t="s">
        <v>74</v>
      </c>
      <c r="L216" t="s">
        <v>74</v>
      </c>
      <c r="M216" t="s">
        <v>78</v>
      </c>
      <c r="N216" t="s">
        <v>775</v>
      </c>
      <c r="O216" t="s">
        <v>74</v>
      </c>
      <c r="P216" t="s">
        <v>74</v>
      </c>
      <c r="Q216" t="s">
        <v>74</v>
      </c>
      <c r="R216" t="s">
        <v>74</v>
      </c>
      <c r="S216" t="s">
        <v>74</v>
      </c>
      <c r="T216" t="s">
        <v>74</v>
      </c>
      <c r="U216" t="s">
        <v>74</v>
      </c>
      <c r="V216" t="s">
        <v>3002</v>
      </c>
      <c r="W216" t="s">
        <v>3003</v>
      </c>
      <c r="X216" t="s">
        <v>3004</v>
      </c>
      <c r="Y216" t="s">
        <v>3005</v>
      </c>
      <c r="Z216" t="s">
        <v>3006</v>
      </c>
      <c r="AA216" t="s">
        <v>3007</v>
      </c>
      <c r="AB216" t="s">
        <v>3008</v>
      </c>
      <c r="AC216" t="s">
        <v>74</v>
      </c>
      <c r="AD216" t="s">
        <v>74</v>
      </c>
      <c r="AE216" t="s">
        <v>74</v>
      </c>
      <c r="AF216" t="s">
        <v>74</v>
      </c>
      <c r="AG216">
        <v>11</v>
      </c>
      <c r="AH216">
        <v>7</v>
      </c>
      <c r="AI216">
        <v>8</v>
      </c>
      <c r="AJ216">
        <v>0</v>
      </c>
      <c r="AK216">
        <v>1</v>
      </c>
      <c r="AL216" t="s">
        <v>1230</v>
      </c>
      <c r="AM216" t="s">
        <v>1210</v>
      </c>
      <c r="AN216" t="s">
        <v>1211</v>
      </c>
      <c r="AO216" t="s">
        <v>3009</v>
      </c>
      <c r="AP216" t="s">
        <v>74</v>
      </c>
      <c r="AQ216" t="s">
        <v>74</v>
      </c>
      <c r="AR216" t="s">
        <v>3010</v>
      </c>
      <c r="AS216" t="s">
        <v>3011</v>
      </c>
      <c r="AT216" t="s">
        <v>74</v>
      </c>
      <c r="AU216">
        <v>2003</v>
      </c>
      <c r="AV216">
        <v>255</v>
      </c>
      <c r="AW216">
        <v>2</v>
      </c>
      <c r="AX216" t="s">
        <v>74</v>
      </c>
      <c r="AY216" t="s">
        <v>74</v>
      </c>
      <c r="AZ216" t="s">
        <v>74</v>
      </c>
      <c r="BA216" t="s">
        <v>74</v>
      </c>
      <c r="BB216">
        <v>235</v>
      </c>
      <c r="BC216">
        <v>237</v>
      </c>
      <c r="BD216" t="s">
        <v>74</v>
      </c>
      <c r="BE216" t="s">
        <v>3012</v>
      </c>
      <c r="BF216" t="str">
        <f>HYPERLINK("http://dx.doi.org/10.1023/A:1022563611414","http://dx.doi.org/10.1023/A:1022563611414")</f>
        <v>http://dx.doi.org/10.1023/A:1022563611414</v>
      </c>
      <c r="BG216" t="s">
        <v>74</v>
      </c>
      <c r="BH216" t="s">
        <v>74</v>
      </c>
      <c r="BI216">
        <v>3</v>
      </c>
      <c r="BJ216" t="s">
        <v>3013</v>
      </c>
      <c r="BK216" t="s">
        <v>569</v>
      </c>
      <c r="BL216" t="s">
        <v>3014</v>
      </c>
      <c r="BM216" t="s">
        <v>3015</v>
      </c>
      <c r="BN216" t="s">
        <v>74</v>
      </c>
      <c r="BO216" t="s">
        <v>74</v>
      </c>
      <c r="BP216" t="s">
        <v>74</v>
      </c>
      <c r="BQ216" t="s">
        <v>74</v>
      </c>
      <c r="BR216" t="s">
        <v>98</v>
      </c>
      <c r="BS216" t="s">
        <v>3016</v>
      </c>
      <c r="BT216" t="str">
        <f>HYPERLINK("https%3A%2F%2Fwww.webofscience.com%2Fwos%2Fwoscc%2Ffull-record%2FWOS:000181237000002","View Full Record in Web of Science")</f>
        <v>View Full Record in Web of Science</v>
      </c>
    </row>
    <row r="217" spans="1:72" x14ac:dyDescent="0.15">
      <c r="A217" t="s">
        <v>552</v>
      </c>
      <c r="B217" t="s">
        <v>3017</v>
      </c>
      <c r="C217" t="s">
        <v>74</v>
      </c>
      <c r="D217" t="s">
        <v>74</v>
      </c>
      <c r="E217" t="s">
        <v>74</v>
      </c>
      <c r="F217" t="s">
        <v>3017</v>
      </c>
      <c r="G217" t="s">
        <v>74</v>
      </c>
      <c r="H217" t="s">
        <v>74</v>
      </c>
      <c r="I217" t="s">
        <v>3018</v>
      </c>
      <c r="J217" t="s">
        <v>3019</v>
      </c>
      <c r="K217" t="s">
        <v>74</v>
      </c>
      <c r="L217" t="s">
        <v>74</v>
      </c>
      <c r="M217" t="s">
        <v>78</v>
      </c>
      <c r="N217" t="s">
        <v>775</v>
      </c>
      <c r="O217" t="s">
        <v>74</v>
      </c>
      <c r="P217" t="s">
        <v>74</v>
      </c>
      <c r="Q217" t="s">
        <v>74</v>
      </c>
      <c r="R217" t="s">
        <v>74</v>
      </c>
      <c r="S217" t="s">
        <v>74</v>
      </c>
      <c r="T217" t="s">
        <v>3020</v>
      </c>
      <c r="U217" t="s">
        <v>3021</v>
      </c>
      <c r="V217" t="s">
        <v>3022</v>
      </c>
      <c r="W217" t="s">
        <v>3023</v>
      </c>
      <c r="X217" t="s">
        <v>3024</v>
      </c>
      <c r="Y217" t="s">
        <v>3025</v>
      </c>
      <c r="Z217" t="s">
        <v>74</v>
      </c>
      <c r="AA217" t="s">
        <v>74</v>
      </c>
      <c r="AB217" t="s">
        <v>74</v>
      </c>
      <c r="AC217" t="s">
        <v>74</v>
      </c>
      <c r="AD217" t="s">
        <v>74</v>
      </c>
      <c r="AE217" t="s">
        <v>74</v>
      </c>
      <c r="AF217" t="s">
        <v>74</v>
      </c>
      <c r="AG217">
        <v>58</v>
      </c>
      <c r="AH217">
        <v>63</v>
      </c>
      <c r="AI217">
        <v>66</v>
      </c>
      <c r="AJ217">
        <v>1</v>
      </c>
      <c r="AK217">
        <v>27</v>
      </c>
      <c r="AL217" t="s">
        <v>3026</v>
      </c>
      <c r="AM217" t="s">
        <v>2465</v>
      </c>
      <c r="AN217" t="s">
        <v>3027</v>
      </c>
      <c r="AO217" t="s">
        <v>3028</v>
      </c>
      <c r="AP217" t="s">
        <v>74</v>
      </c>
      <c r="AQ217" t="s">
        <v>74</v>
      </c>
      <c r="AR217" t="s">
        <v>3029</v>
      </c>
      <c r="AS217" t="s">
        <v>3030</v>
      </c>
      <c r="AT217" t="s">
        <v>566</v>
      </c>
      <c r="AU217">
        <v>2003</v>
      </c>
      <c r="AV217">
        <v>160</v>
      </c>
      <c r="AW217" t="s">
        <v>74</v>
      </c>
      <c r="AX217">
        <v>1</v>
      </c>
      <c r="AY217" t="s">
        <v>74</v>
      </c>
      <c r="AZ217" t="s">
        <v>74</v>
      </c>
      <c r="BA217" t="s">
        <v>74</v>
      </c>
      <c r="BB217">
        <v>57</v>
      </c>
      <c r="BC217">
        <v>70</v>
      </c>
      <c r="BD217" t="s">
        <v>74</v>
      </c>
      <c r="BE217" t="s">
        <v>3031</v>
      </c>
      <c r="BF217" t="str">
        <f>HYPERLINK("http://dx.doi.org/10.1144/0016-764901-143","http://dx.doi.org/10.1144/0016-764901-143")</f>
        <v>http://dx.doi.org/10.1144/0016-764901-143</v>
      </c>
      <c r="BG217" t="s">
        <v>74</v>
      </c>
      <c r="BH217" t="s">
        <v>74</v>
      </c>
      <c r="BI217">
        <v>14</v>
      </c>
      <c r="BJ217" t="s">
        <v>1813</v>
      </c>
      <c r="BK217" t="s">
        <v>569</v>
      </c>
      <c r="BL217" t="s">
        <v>1814</v>
      </c>
      <c r="BM217" t="s">
        <v>3032</v>
      </c>
      <c r="BN217" t="s">
        <v>74</v>
      </c>
      <c r="BO217" t="s">
        <v>74</v>
      </c>
      <c r="BP217" t="s">
        <v>74</v>
      </c>
      <c r="BQ217" t="s">
        <v>74</v>
      </c>
      <c r="BR217" t="s">
        <v>98</v>
      </c>
      <c r="BS217" t="s">
        <v>3033</v>
      </c>
      <c r="BT217" t="str">
        <f>HYPERLINK("https%3A%2F%2Fwww.webofscience.com%2Fwos%2Fwoscc%2Ffull-record%2FWOS:000180539600009","View Full Record in Web of Science")</f>
        <v>View Full Record in Web of Science</v>
      </c>
    </row>
    <row r="218" spans="1:72" x14ac:dyDescent="0.15">
      <c r="A218" t="s">
        <v>552</v>
      </c>
      <c r="B218" t="s">
        <v>3034</v>
      </c>
      <c r="C218" t="s">
        <v>74</v>
      </c>
      <c r="D218" t="s">
        <v>74</v>
      </c>
      <c r="E218" t="s">
        <v>74</v>
      </c>
      <c r="F218" t="s">
        <v>3034</v>
      </c>
      <c r="G218" t="s">
        <v>74</v>
      </c>
      <c r="H218" t="s">
        <v>74</v>
      </c>
      <c r="I218" t="s">
        <v>3035</v>
      </c>
      <c r="J218" t="s">
        <v>3036</v>
      </c>
      <c r="K218" t="s">
        <v>74</v>
      </c>
      <c r="L218" t="s">
        <v>74</v>
      </c>
      <c r="M218" t="s">
        <v>78</v>
      </c>
      <c r="N218" t="s">
        <v>775</v>
      </c>
      <c r="O218" t="s">
        <v>74</v>
      </c>
      <c r="P218" t="s">
        <v>74</v>
      </c>
      <c r="Q218" t="s">
        <v>74</v>
      </c>
      <c r="R218" t="s">
        <v>74</v>
      </c>
      <c r="S218" t="s">
        <v>74</v>
      </c>
      <c r="T218" t="s">
        <v>3037</v>
      </c>
      <c r="U218" t="s">
        <v>3038</v>
      </c>
      <c r="V218" t="s">
        <v>3039</v>
      </c>
      <c r="W218" t="s">
        <v>3040</v>
      </c>
      <c r="X218" t="s">
        <v>3041</v>
      </c>
      <c r="Y218" t="s">
        <v>3042</v>
      </c>
      <c r="Z218" t="s">
        <v>3043</v>
      </c>
      <c r="AA218" t="s">
        <v>3044</v>
      </c>
      <c r="AB218" t="s">
        <v>3045</v>
      </c>
      <c r="AC218" t="s">
        <v>74</v>
      </c>
      <c r="AD218" t="s">
        <v>74</v>
      </c>
      <c r="AE218" t="s">
        <v>74</v>
      </c>
      <c r="AF218" t="s">
        <v>74</v>
      </c>
      <c r="AG218">
        <v>31</v>
      </c>
      <c r="AH218">
        <v>12</v>
      </c>
      <c r="AI218">
        <v>18</v>
      </c>
      <c r="AJ218">
        <v>1</v>
      </c>
      <c r="AK218">
        <v>10</v>
      </c>
      <c r="AL218" t="s">
        <v>806</v>
      </c>
      <c r="AM218" t="s">
        <v>807</v>
      </c>
      <c r="AN218" t="s">
        <v>808</v>
      </c>
      <c r="AO218" t="s">
        <v>3046</v>
      </c>
      <c r="AP218" t="s">
        <v>74</v>
      </c>
      <c r="AQ218" t="s">
        <v>74</v>
      </c>
      <c r="AR218" t="s">
        <v>3047</v>
      </c>
      <c r="AS218" t="s">
        <v>3048</v>
      </c>
      <c r="AT218" t="s">
        <v>566</v>
      </c>
      <c r="AU218">
        <v>2003</v>
      </c>
      <c r="AV218">
        <v>28</v>
      </c>
      <c r="AW218">
        <v>1</v>
      </c>
      <c r="AX218" t="s">
        <v>74</v>
      </c>
      <c r="AY218" t="s">
        <v>74</v>
      </c>
      <c r="AZ218" t="s">
        <v>74</v>
      </c>
      <c r="BA218" t="s">
        <v>74</v>
      </c>
      <c r="BB218">
        <v>59</v>
      </c>
      <c r="BC218">
        <v>65</v>
      </c>
      <c r="BD218" t="s">
        <v>3049</v>
      </c>
      <c r="BE218" t="s">
        <v>3050</v>
      </c>
      <c r="BF218" t="str">
        <f>HYPERLINK("http://dx.doi.org/10.1016/S0306-4565(02)00037-2","http://dx.doi.org/10.1016/S0306-4565(02)00037-2")</f>
        <v>http://dx.doi.org/10.1016/S0306-4565(02)00037-2</v>
      </c>
      <c r="BG218" t="s">
        <v>74</v>
      </c>
      <c r="BH218" t="s">
        <v>74</v>
      </c>
      <c r="BI218">
        <v>7</v>
      </c>
      <c r="BJ218" t="s">
        <v>3051</v>
      </c>
      <c r="BK218" t="s">
        <v>569</v>
      </c>
      <c r="BL218" t="s">
        <v>3052</v>
      </c>
      <c r="BM218" t="s">
        <v>3053</v>
      </c>
      <c r="BN218" t="s">
        <v>74</v>
      </c>
      <c r="BO218" t="s">
        <v>74</v>
      </c>
      <c r="BP218" t="s">
        <v>74</v>
      </c>
      <c r="BQ218" t="s">
        <v>74</v>
      </c>
      <c r="BR218" t="s">
        <v>98</v>
      </c>
      <c r="BS218" t="s">
        <v>3054</v>
      </c>
      <c r="BT218" t="str">
        <f>HYPERLINK("https%3A%2F%2Fwww.webofscience.com%2Fwos%2Fwoscc%2Ffull-record%2FWOS:000180582600008","View Full Record in Web of Science")</f>
        <v>View Full Record in Web of Science</v>
      </c>
    </row>
    <row r="219" spans="1:72" x14ac:dyDescent="0.15">
      <c r="A219" t="s">
        <v>552</v>
      </c>
      <c r="B219" t="s">
        <v>3055</v>
      </c>
      <c r="C219" t="s">
        <v>74</v>
      </c>
      <c r="D219" t="s">
        <v>74</v>
      </c>
      <c r="E219" t="s">
        <v>74</v>
      </c>
      <c r="F219" t="s">
        <v>3056</v>
      </c>
      <c r="G219" t="s">
        <v>74</v>
      </c>
      <c r="H219" t="s">
        <v>74</v>
      </c>
      <c r="I219" t="s">
        <v>3057</v>
      </c>
      <c r="J219" t="s">
        <v>3058</v>
      </c>
      <c r="K219" t="s">
        <v>74</v>
      </c>
      <c r="L219" t="s">
        <v>74</v>
      </c>
      <c r="M219" t="s">
        <v>78</v>
      </c>
      <c r="N219" t="s">
        <v>52</v>
      </c>
      <c r="O219" t="s">
        <v>74</v>
      </c>
      <c r="P219" t="s">
        <v>74</v>
      </c>
      <c r="Q219" t="s">
        <v>74</v>
      </c>
      <c r="R219" t="s">
        <v>74</v>
      </c>
      <c r="S219" t="s">
        <v>74</v>
      </c>
      <c r="T219" t="s">
        <v>74</v>
      </c>
      <c r="U219" t="s">
        <v>74</v>
      </c>
      <c r="V219" t="s">
        <v>74</v>
      </c>
      <c r="W219" t="s">
        <v>3059</v>
      </c>
      <c r="X219" t="s">
        <v>3060</v>
      </c>
      <c r="Y219" t="s">
        <v>74</v>
      </c>
      <c r="Z219" t="s">
        <v>74</v>
      </c>
      <c r="AA219" t="s">
        <v>3061</v>
      </c>
      <c r="AB219" t="s">
        <v>74</v>
      </c>
      <c r="AC219" t="s">
        <v>74</v>
      </c>
      <c r="AD219" t="s">
        <v>74</v>
      </c>
      <c r="AE219" t="s">
        <v>74</v>
      </c>
      <c r="AF219" t="s">
        <v>74</v>
      </c>
      <c r="AG219">
        <v>0</v>
      </c>
      <c r="AH219">
        <v>7</v>
      </c>
      <c r="AI219">
        <v>8</v>
      </c>
      <c r="AJ219">
        <v>0</v>
      </c>
      <c r="AK219">
        <v>2</v>
      </c>
      <c r="AL219" t="s">
        <v>2266</v>
      </c>
      <c r="AM219" t="s">
        <v>2267</v>
      </c>
      <c r="AN219" t="s">
        <v>3062</v>
      </c>
      <c r="AO219" t="s">
        <v>3063</v>
      </c>
      <c r="AP219" t="s">
        <v>3064</v>
      </c>
      <c r="AQ219" t="s">
        <v>74</v>
      </c>
      <c r="AR219" t="s">
        <v>3065</v>
      </c>
      <c r="AS219" t="s">
        <v>3066</v>
      </c>
      <c r="AT219" t="s">
        <v>74</v>
      </c>
      <c r="AU219">
        <v>2003</v>
      </c>
      <c r="AV219">
        <v>23</v>
      </c>
      <c r="AW219" t="s">
        <v>74</v>
      </c>
      <c r="AX219" t="s">
        <v>74</v>
      </c>
      <c r="AY219">
        <v>3</v>
      </c>
      <c r="AZ219" t="s">
        <v>3067</v>
      </c>
      <c r="BA219" t="s">
        <v>74</v>
      </c>
      <c r="BB219" t="s">
        <v>3068</v>
      </c>
      <c r="BC219" t="s">
        <v>3068</v>
      </c>
      <c r="BD219" t="s">
        <v>74</v>
      </c>
      <c r="BE219" t="s">
        <v>74</v>
      </c>
      <c r="BF219" t="s">
        <v>74</v>
      </c>
      <c r="BG219" t="s">
        <v>74</v>
      </c>
      <c r="BH219" t="s">
        <v>74</v>
      </c>
      <c r="BI219">
        <v>1</v>
      </c>
      <c r="BJ219" t="s">
        <v>3069</v>
      </c>
      <c r="BK219" t="s">
        <v>569</v>
      </c>
      <c r="BL219" t="s">
        <v>3069</v>
      </c>
      <c r="BM219" t="s">
        <v>3070</v>
      </c>
      <c r="BN219" t="s">
        <v>74</v>
      </c>
      <c r="BO219" t="s">
        <v>74</v>
      </c>
      <c r="BP219" t="s">
        <v>74</v>
      </c>
      <c r="BQ219" t="s">
        <v>74</v>
      </c>
      <c r="BR219" t="s">
        <v>98</v>
      </c>
      <c r="BS219" t="s">
        <v>3071</v>
      </c>
      <c r="BT219" t="str">
        <f>HYPERLINK("https%3A%2F%2Fwww.webofscience.com%2Fwos%2Fwoscc%2Ffull-record%2FWOS:000209028800068","View Full Record in Web of Science")</f>
        <v>View Full Record in Web of Science</v>
      </c>
    </row>
    <row r="220" spans="1:72" x14ac:dyDescent="0.15">
      <c r="A220" t="s">
        <v>552</v>
      </c>
      <c r="B220" t="s">
        <v>3072</v>
      </c>
      <c r="C220" t="s">
        <v>74</v>
      </c>
      <c r="D220" t="s">
        <v>74</v>
      </c>
      <c r="E220" t="s">
        <v>74</v>
      </c>
      <c r="F220" t="s">
        <v>3072</v>
      </c>
      <c r="G220" t="s">
        <v>74</v>
      </c>
      <c r="H220" t="s">
        <v>74</v>
      </c>
      <c r="I220" t="s">
        <v>3073</v>
      </c>
      <c r="J220" t="s">
        <v>3074</v>
      </c>
      <c r="K220" t="s">
        <v>74</v>
      </c>
      <c r="L220" t="s">
        <v>74</v>
      </c>
      <c r="M220" t="s">
        <v>78</v>
      </c>
      <c r="N220" t="s">
        <v>775</v>
      </c>
      <c r="O220" t="s">
        <v>74</v>
      </c>
      <c r="P220" t="s">
        <v>74</v>
      </c>
      <c r="Q220" t="s">
        <v>74</v>
      </c>
      <c r="R220" t="s">
        <v>74</v>
      </c>
      <c r="S220" t="s">
        <v>74</v>
      </c>
      <c r="T220" t="s">
        <v>3075</v>
      </c>
      <c r="U220" t="s">
        <v>3076</v>
      </c>
      <c r="V220" t="s">
        <v>3077</v>
      </c>
      <c r="W220" t="s">
        <v>3078</v>
      </c>
      <c r="X220" t="s">
        <v>3079</v>
      </c>
      <c r="Y220" t="s">
        <v>3080</v>
      </c>
      <c r="Z220" t="s">
        <v>74</v>
      </c>
      <c r="AA220" t="s">
        <v>74</v>
      </c>
      <c r="AB220" t="s">
        <v>3081</v>
      </c>
      <c r="AC220" t="s">
        <v>74</v>
      </c>
      <c r="AD220" t="s">
        <v>74</v>
      </c>
      <c r="AE220" t="s">
        <v>74</v>
      </c>
      <c r="AF220" t="s">
        <v>74</v>
      </c>
      <c r="AG220">
        <v>22</v>
      </c>
      <c r="AH220">
        <v>4</v>
      </c>
      <c r="AI220">
        <v>6</v>
      </c>
      <c r="AJ220">
        <v>0</v>
      </c>
      <c r="AK220">
        <v>3</v>
      </c>
      <c r="AL220" t="s">
        <v>560</v>
      </c>
      <c r="AM220" t="s">
        <v>561</v>
      </c>
      <c r="AN220" t="s">
        <v>3082</v>
      </c>
      <c r="AO220" t="s">
        <v>3083</v>
      </c>
      <c r="AP220" t="s">
        <v>74</v>
      </c>
      <c r="AQ220" t="s">
        <v>74</v>
      </c>
      <c r="AR220" t="s">
        <v>3084</v>
      </c>
      <c r="AS220" t="s">
        <v>3085</v>
      </c>
      <c r="AT220" t="s">
        <v>566</v>
      </c>
      <c r="AU220">
        <v>2003</v>
      </c>
      <c r="AV220">
        <v>259</v>
      </c>
      <c r="AW220" t="s">
        <v>74</v>
      </c>
      <c r="AX220">
        <v>1</v>
      </c>
      <c r="AY220" t="s">
        <v>74</v>
      </c>
      <c r="AZ220" t="s">
        <v>74</v>
      </c>
      <c r="BA220" t="s">
        <v>74</v>
      </c>
      <c r="BB220">
        <v>31</v>
      </c>
      <c r="BC220">
        <v>47</v>
      </c>
      <c r="BD220" t="s">
        <v>74</v>
      </c>
      <c r="BE220" t="s">
        <v>3086</v>
      </c>
      <c r="BF220" t="str">
        <f>HYPERLINK("http://dx.doi.org/10.1017/S0952836902003023","http://dx.doi.org/10.1017/S0952836902003023")</f>
        <v>http://dx.doi.org/10.1017/S0952836902003023</v>
      </c>
      <c r="BG220" t="s">
        <v>74</v>
      </c>
      <c r="BH220" t="s">
        <v>74</v>
      </c>
      <c r="BI220">
        <v>17</v>
      </c>
      <c r="BJ220" t="s">
        <v>927</v>
      </c>
      <c r="BK220" t="s">
        <v>569</v>
      </c>
      <c r="BL220" t="s">
        <v>927</v>
      </c>
      <c r="BM220" t="s">
        <v>3087</v>
      </c>
      <c r="BN220" t="s">
        <v>74</v>
      </c>
      <c r="BO220" t="s">
        <v>572</v>
      </c>
      <c r="BP220" t="s">
        <v>74</v>
      </c>
      <c r="BQ220" t="s">
        <v>74</v>
      </c>
      <c r="BR220" t="s">
        <v>98</v>
      </c>
      <c r="BS220" t="s">
        <v>3088</v>
      </c>
      <c r="BT220" t="str">
        <f>HYPERLINK("https%3A%2F%2Fwww.webofscience.com%2Fwos%2Fwoscc%2Ffull-record%2FWOS:000182606700005","View Full Record in Web of Science")</f>
        <v>View Full Record in Web of Science</v>
      </c>
    </row>
    <row r="221" spans="1:72" x14ac:dyDescent="0.15">
      <c r="A221" t="s">
        <v>72</v>
      </c>
      <c r="B221" t="s">
        <v>3089</v>
      </c>
      <c r="C221" t="s">
        <v>74</v>
      </c>
      <c r="D221" t="s">
        <v>3090</v>
      </c>
      <c r="E221" t="s">
        <v>74</v>
      </c>
      <c r="F221" t="s">
        <v>3089</v>
      </c>
      <c r="G221" t="s">
        <v>74</v>
      </c>
      <c r="H221" t="s">
        <v>74</v>
      </c>
      <c r="I221" t="s">
        <v>3091</v>
      </c>
      <c r="J221" t="s">
        <v>3092</v>
      </c>
      <c r="K221" t="s">
        <v>1827</v>
      </c>
      <c r="L221" t="s">
        <v>74</v>
      </c>
      <c r="M221" t="s">
        <v>78</v>
      </c>
      <c r="N221" t="s">
        <v>79</v>
      </c>
      <c r="O221" t="s">
        <v>3093</v>
      </c>
      <c r="P221" t="s">
        <v>3094</v>
      </c>
      <c r="Q221" t="s">
        <v>3095</v>
      </c>
      <c r="R221" t="s">
        <v>74</v>
      </c>
      <c r="S221" t="s">
        <v>3096</v>
      </c>
      <c r="T221" t="s">
        <v>3097</v>
      </c>
      <c r="U221" t="s">
        <v>3098</v>
      </c>
      <c r="V221" t="s">
        <v>3099</v>
      </c>
      <c r="W221" t="s">
        <v>3100</v>
      </c>
      <c r="X221" t="s">
        <v>675</v>
      </c>
      <c r="Y221" t="s">
        <v>3101</v>
      </c>
      <c r="Z221" t="s">
        <v>74</v>
      </c>
      <c r="AA221" t="s">
        <v>74</v>
      </c>
      <c r="AB221" t="s">
        <v>3102</v>
      </c>
      <c r="AC221" t="s">
        <v>74</v>
      </c>
      <c r="AD221" t="s">
        <v>74</v>
      </c>
      <c r="AE221" t="s">
        <v>74</v>
      </c>
      <c r="AF221" t="s">
        <v>74</v>
      </c>
      <c r="AG221">
        <v>19</v>
      </c>
      <c r="AH221">
        <v>0</v>
      </c>
      <c r="AI221">
        <v>0</v>
      </c>
      <c r="AJ221">
        <v>0</v>
      </c>
      <c r="AK221">
        <v>1</v>
      </c>
      <c r="AL221" t="s">
        <v>1838</v>
      </c>
      <c r="AM221" t="s">
        <v>1839</v>
      </c>
      <c r="AN221" t="s">
        <v>1840</v>
      </c>
      <c r="AO221" t="s">
        <v>1841</v>
      </c>
      <c r="AP221" t="s">
        <v>74</v>
      </c>
      <c r="AQ221" t="s">
        <v>3103</v>
      </c>
      <c r="AR221" t="s">
        <v>1843</v>
      </c>
      <c r="AS221" t="s">
        <v>74</v>
      </c>
      <c r="AT221" t="s">
        <v>74</v>
      </c>
      <c r="AU221">
        <v>2003</v>
      </c>
      <c r="AV221">
        <v>5149</v>
      </c>
      <c r="AW221" t="s">
        <v>74</v>
      </c>
      <c r="AX221" t="s">
        <v>74</v>
      </c>
      <c r="AY221" t="s">
        <v>74</v>
      </c>
      <c r="AZ221" t="s">
        <v>74</v>
      </c>
      <c r="BA221" t="s">
        <v>74</v>
      </c>
      <c r="BB221">
        <v>283</v>
      </c>
      <c r="BC221">
        <v>291</v>
      </c>
      <c r="BD221" t="s">
        <v>74</v>
      </c>
      <c r="BE221" t="s">
        <v>3104</v>
      </c>
      <c r="BF221" t="str">
        <f>HYPERLINK("http://dx.doi.org/10.1117/12.519776","http://dx.doi.org/10.1117/12.519776")</f>
        <v>http://dx.doi.org/10.1117/12.519776</v>
      </c>
      <c r="BG221" t="s">
        <v>74</v>
      </c>
      <c r="BH221" t="s">
        <v>74</v>
      </c>
      <c r="BI221">
        <v>9</v>
      </c>
      <c r="BJ221" t="s">
        <v>3105</v>
      </c>
      <c r="BK221" t="s">
        <v>95</v>
      </c>
      <c r="BL221" t="s">
        <v>3106</v>
      </c>
      <c r="BM221" t="s">
        <v>3107</v>
      </c>
      <c r="BN221" t="s">
        <v>74</v>
      </c>
      <c r="BO221" t="s">
        <v>74</v>
      </c>
      <c r="BP221" t="s">
        <v>74</v>
      </c>
      <c r="BQ221" t="s">
        <v>74</v>
      </c>
      <c r="BR221" t="s">
        <v>98</v>
      </c>
      <c r="BS221" t="s">
        <v>3108</v>
      </c>
      <c r="BT221" t="str">
        <f>HYPERLINK("https%3A%2F%2Fwww.webofscience.com%2Fwos%2Fwoscc%2Ffull-record%2FWOS:000186183400034","View Full Record in Web of Science")</f>
        <v>View Full Record in Web of Science</v>
      </c>
    </row>
    <row r="222" spans="1:72" x14ac:dyDescent="0.15">
      <c r="A222" t="s">
        <v>552</v>
      </c>
      <c r="B222" t="s">
        <v>3109</v>
      </c>
      <c r="C222" t="s">
        <v>74</v>
      </c>
      <c r="D222" t="s">
        <v>74</v>
      </c>
      <c r="E222" t="s">
        <v>74</v>
      </c>
      <c r="F222" t="s">
        <v>3109</v>
      </c>
      <c r="G222" t="s">
        <v>74</v>
      </c>
      <c r="H222" t="s">
        <v>74</v>
      </c>
      <c r="I222" t="s">
        <v>3110</v>
      </c>
      <c r="J222" t="s">
        <v>3111</v>
      </c>
      <c r="K222" t="s">
        <v>74</v>
      </c>
      <c r="L222" t="s">
        <v>74</v>
      </c>
      <c r="M222" t="s">
        <v>78</v>
      </c>
      <c r="N222" t="s">
        <v>775</v>
      </c>
      <c r="O222" t="s">
        <v>74</v>
      </c>
      <c r="P222" t="s">
        <v>74</v>
      </c>
      <c r="Q222" t="s">
        <v>74</v>
      </c>
      <c r="R222" t="s">
        <v>74</v>
      </c>
      <c r="S222" t="s">
        <v>74</v>
      </c>
      <c r="T222" t="s">
        <v>74</v>
      </c>
      <c r="U222" t="s">
        <v>3112</v>
      </c>
      <c r="V222" t="s">
        <v>3113</v>
      </c>
      <c r="W222" t="s">
        <v>3114</v>
      </c>
      <c r="X222" t="s">
        <v>3115</v>
      </c>
      <c r="Y222" t="s">
        <v>3116</v>
      </c>
      <c r="Z222" t="s">
        <v>74</v>
      </c>
      <c r="AA222" t="s">
        <v>3117</v>
      </c>
      <c r="AB222" t="s">
        <v>3118</v>
      </c>
      <c r="AC222" t="s">
        <v>74</v>
      </c>
      <c r="AD222" t="s">
        <v>74</v>
      </c>
      <c r="AE222" t="s">
        <v>74</v>
      </c>
      <c r="AF222" t="s">
        <v>74</v>
      </c>
      <c r="AG222">
        <v>56</v>
      </c>
      <c r="AH222">
        <v>16</v>
      </c>
      <c r="AI222">
        <v>17</v>
      </c>
      <c r="AJ222">
        <v>1</v>
      </c>
      <c r="AK222">
        <v>10</v>
      </c>
      <c r="AL222" t="s">
        <v>3119</v>
      </c>
      <c r="AM222" t="s">
        <v>3120</v>
      </c>
      <c r="AN222" t="s">
        <v>3121</v>
      </c>
      <c r="AO222" t="s">
        <v>3122</v>
      </c>
      <c r="AP222" t="s">
        <v>74</v>
      </c>
      <c r="AQ222" t="s">
        <v>74</v>
      </c>
      <c r="AR222" t="s">
        <v>3123</v>
      </c>
      <c r="AS222" t="s">
        <v>3124</v>
      </c>
      <c r="AT222" t="s">
        <v>566</v>
      </c>
      <c r="AU222">
        <v>2003</v>
      </c>
      <c r="AV222">
        <v>48</v>
      </c>
      <c r="AW222">
        <v>1</v>
      </c>
      <c r="AX222" t="s">
        <v>74</v>
      </c>
      <c r="AY222" t="s">
        <v>74</v>
      </c>
      <c r="AZ222" t="s">
        <v>74</v>
      </c>
      <c r="BA222" t="s">
        <v>74</v>
      </c>
      <c r="BB222">
        <v>18</v>
      </c>
      <c r="BC222">
        <v>30</v>
      </c>
      <c r="BD222" t="s">
        <v>74</v>
      </c>
      <c r="BE222" t="s">
        <v>3125</v>
      </c>
      <c r="BF222" t="str">
        <f>HYPERLINK("http://dx.doi.org/10.4319/lo.2003.48.1.0018","http://dx.doi.org/10.4319/lo.2003.48.1.0018")</f>
        <v>http://dx.doi.org/10.4319/lo.2003.48.1.0018</v>
      </c>
      <c r="BG222" t="s">
        <v>74</v>
      </c>
      <c r="BH222" t="s">
        <v>74</v>
      </c>
      <c r="BI222">
        <v>13</v>
      </c>
      <c r="BJ222" t="s">
        <v>3126</v>
      </c>
      <c r="BK222" t="s">
        <v>569</v>
      </c>
      <c r="BL222" t="s">
        <v>3127</v>
      </c>
      <c r="BM222" t="s">
        <v>3128</v>
      </c>
      <c r="BN222" t="s">
        <v>74</v>
      </c>
      <c r="BO222" t="s">
        <v>572</v>
      </c>
      <c r="BP222" t="s">
        <v>74</v>
      </c>
      <c r="BQ222" t="s">
        <v>74</v>
      </c>
      <c r="BR222" t="s">
        <v>98</v>
      </c>
      <c r="BS222" t="s">
        <v>3129</v>
      </c>
      <c r="BT222" t="str">
        <f>HYPERLINK("https%3A%2F%2Fwww.webofscience.com%2Fwos%2Fwoscc%2Ffull-record%2FWOS:000182050000003","View Full Record in Web of Science")</f>
        <v>View Full Record in Web of Science</v>
      </c>
    </row>
    <row r="223" spans="1:72" x14ac:dyDescent="0.15">
      <c r="A223" t="s">
        <v>552</v>
      </c>
      <c r="B223" t="s">
        <v>3130</v>
      </c>
      <c r="C223" t="s">
        <v>74</v>
      </c>
      <c r="D223" t="s">
        <v>74</v>
      </c>
      <c r="E223" t="s">
        <v>74</v>
      </c>
      <c r="F223" t="s">
        <v>3130</v>
      </c>
      <c r="G223" t="s">
        <v>74</v>
      </c>
      <c r="H223" t="s">
        <v>74</v>
      </c>
      <c r="I223" t="s">
        <v>3131</v>
      </c>
      <c r="J223" t="s">
        <v>3111</v>
      </c>
      <c r="K223" t="s">
        <v>74</v>
      </c>
      <c r="L223" t="s">
        <v>74</v>
      </c>
      <c r="M223" t="s">
        <v>78</v>
      </c>
      <c r="N223" t="s">
        <v>775</v>
      </c>
      <c r="O223" t="s">
        <v>74</v>
      </c>
      <c r="P223" t="s">
        <v>74</v>
      </c>
      <c r="Q223" t="s">
        <v>74</v>
      </c>
      <c r="R223" t="s">
        <v>74</v>
      </c>
      <c r="S223" t="s">
        <v>74</v>
      </c>
      <c r="T223" t="s">
        <v>74</v>
      </c>
      <c r="U223" t="s">
        <v>3132</v>
      </c>
      <c r="V223" t="s">
        <v>3133</v>
      </c>
      <c r="W223" t="s">
        <v>3134</v>
      </c>
      <c r="X223" t="s">
        <v>3135</v>
      </c>
      <c r="Y223" t="s">
        <v>3136</v>
      </c>
      <c r="Z223" t="s">
        <v>3137</v>
      </c>
      <c r="AA223" t="s">
        <v>3138</v>
      </c>
      <c r="AB223" t="s">
        <v>3139</v>
      </c>
      <c r="AC223" t="s">
        <v>74</v>
      </c>
      <c r="AD223" t="s">
        <v>74</v>
      </c>
      <c r="AE223" t="s">
        <v>74</v>
      </c>
      <c r="AF223" t="s">
        <v>74</v>
      </c>
      <c r="AG223">
        <v>56</v>
      </c>
      <c r="AH223">
        <v>166</v>
      </c>
      <c r="AI223">
        <v>183</v>
      </c>
      <c r="AJ223">
        <v>2</v>
      </c>
      <c r="AK223">
        <v>53</v>
      </c>
      <c r="AL223" t="s">
        <v>1147</v>
      </c>
      <c r="AM223" t="s">
        <v>1148</v>
      </c>
      <c r="AN223" t="s">
        <v>1149</v>
      </c>
      <c r="AO223" t="s">
        <v>3122</v>
      </c>
      <c r="AP223" t="s">
        <v>3140</v>
      </c>
      <c r="AQ223" t="s">
        <v>74</v>
      </c>
      <c r="AR223" t="s">
        <v>3123</v>
      </c>
      <c r="AS223" t="s">
        <v>3124</v>
      </c>
      <c r="AT223" t="s">
        <v>566</v>
      </c>
      <c r="AU223">
        <v>2003</v>
      </c>
      <c r="AV223">
        <v>48</v>
      </c>
      <c r="AW223">
        <v>1</v>
      </c>
      <c r="AX223" t="s">
        <v>74</v>
      </c>
      <c r="AY223" t="s">
        <v>74</v>
      </c>
      <c r="AZ223" t="s">
        <v>74</v>
      </c>
      <c r="BA223" t="s">
        <v>74</v>
      </c>
      <c r="BB223">
        <v>277</v>
      </c>
      <c r="BC223">
        <v>289</v>
      </c>
      <c r="BD223" t="s">
        <v>74</v>
      </c>
      <c r="BE223" t="s">
        <v>3141</v>
      </c>
      <c r="BF223" t="str">
        <f>HYPERLINK("http://dx.doi.org/10.4319/lo.2003.48.1.0277","http://dx.doi.org/10.4319/lo.2003.48.1.0277")</f>
        <v>http://dx.doi.org/10.4319/lo.2003.48.1.0277</v>
      </c>
      <c r="BG223" t="s">
        <v>74</v>
      </c>
      <c r="BH223" t="s">
        <v>74</v>
      </c>
      <c r="BI223">
        <v>13</v>
      </c>
      <c r="BJ223" t="s">
        <v>3126</v>
      </c>
      <c r="BK223" t="s">
        <v>569</v>
      </c>
      <c r="BL223" t="s">
        <v>3127</v>
      </c>
      <c r="BM223" t="s">
        <v>3128</v>
      </c>
      <c r="BN223" t="s">
        <v>74</v>
      </c>
      <c r="BO223" t="s">
        <v>572</v>
      </c>
      <c r="BP223" t="s">
        <v>74</v>
      </c>
      <c r="BQ223" t="s">
        <v>74</v>
      </c>
      <c r="BR223" t="s">
        <v>98</v>
      </c>
      <c r="BS223" t="s">
        <v>3142</v>
      </c>
      <c r="BT223" t="str">
        <f>HYPERLINK("https%3A%2F%2Fwww.webofscience.com%2Fwos%2Fwoscc%2Ffull-record%2FWOS:000182050000026","View Full Record in Web of Science")</f>
        <v>View Full Record in Web of Science</v>
      </c>
    </row>
    <row r="224" spans="1:72" x14ac:dyDescent="0.15">
      <c r="A224" t="s">
        <v>552</v>
      </c>
      <c r="B224" t="s">
        <v>3143</v>
      </c>
      <c r="C224" t="s">
        <v>74</v>
      </c>
      <c r="D224" t="s">
        <v>74</v>
      </c>
      <c r="E224" t="s">
        <v>74</v>
      </c>
      <c r="F224" t="s">
        <v>3143</v>
      </c>
      <c r="G224" t="s">
        <v>74</v>
      </c>
      <c r="H224" t="s">
        <v>74</v>
      </c>
      <c r="I224" t="s">
        <v>3144</v>
      </c>
      <c r="J224" t="s">
        <v>3145</v>
      </c>
      <c r="K224" t="s">
        <v>74</v>
      </c>
      <c r="L224" t="s">
        <v>74</v>
      </c>
      <c r="M224" t="s">
        <v>78</v>
      </c>
      <c r="N224" t="s">
        <v>775</v>
      </c>
      <c r="O224" t="s">
        <v>74</v>
      </c>
      <c r="P224" t="s">
        <v>74</v>
      </c>
      <c r="Q224" t="s">
        <v>74</v>
      </c>
      <c r="R224" t="s">
        <v>74</v>
      </c>
      <c r="S224" t="s">
        <v>74</v>
      </c>
      <c r="T224" t="s">
        <v>3146</v>
      </c>
      <c r="U224" t="s">
        <v>3147</v>
      </c>
      <c r="V224" t="s">
        <v>3148</v>
      </c>
      <c r="W224" t="s">
        <v>3149</v>
      </c>
      <c r="X224" t="s">
        <v>3150</v>
      </c>
      <c r="Y224" t="s">
        <v>3151</v>
      </c>
      <c r="Z224" t="s">
        <v>3152</v>
      </c>
      <c r="AA224" t="s">
        <v>3153</v>
      </c>
      <c r="AB224" t="s">
        <v>3154</v>
      </c>
      <c r="AC224" t="s">
        <v>74</v>
      </c>
      <c r="AD224" t="s">
        <v>74</v>
      </c>
      <c r="AE224" t="s">
        <v>74</v>
      </c>
      <c r="AF224" t="s">
        <v>74</v>
      </c>
      <c r="AG224">
        <v>58</v>
      </c>
      <c r="AH224">
        <v>48</v>
      </c>
      <c r="AI224">
        <v>50</v>
      </c>
      <c r="AJ224">
        <v>0</v>
      </c>
      <c r="AK224">
        <v>16</v>
      </c>
      <c r="AL224" t="s">
        <v>3155</v>
      </c>
      <c r="AM224" t="s">
        <v>1861</v>
      </c>
      <c r="AN224" t="s">
        <v>3156</v>
      </c>
      <c r="AO224" t="s">
        <v>3157</v>
      </c>
      <c r="AP224" t="s">
        <v>3158</v>
      </c>
      <c r="AQ224" t="s">
        <v>74</v>
      </c>
      <c r="AR224" t="s">
        <v>3145</v>
      </c>
      <c r="AS224" t="s">
        <v>3159</v>
      </c>
      <c r="AT224" t="s">
        <v>566</v>
      </c>
      <c r="AU224">
        <v>2003</v>
      </c>
      <c r="AV224">
        <v>66</v>
      </c>
      <c r="AW224" t="s">
        <v>1866</v>
      </c>
      <c r="AX224" t="s">
        <v>74</v>
      </c>
      <c r="AY224" t="s">
        <v>74</v>
      </c>
      <c r="AZ224" t="s">
        <v>74</v>
      </c>
      <c r="BA224" t="s">
        <v>74</v>
      </c>
      <c r="BB224">
        <v>63</v>
      </c>
      <c r="BC224">
        <v>76</v>
      </c>
      <c r="BD224" t="s">
        <v>3160</v>
      </c>
      <c r="BE224" t="s">
        <v>3161</v>
      </c>
      <c r="BF224" t="str">
        <f>HYPERLINK("http://dx.doi.org/10.1016/S0024-4937(02)00213-X","http://dx.doi.org/10.1016/S0024-4937(02)00213-X")</f>
        <v>http://dx.doi.org/10.1016/S0024-4937(02)00213-X</v>
      </c>
      <c r="BG224" t="s">
        <v>74</v>
      </c>
      <c r="BH224" t="s">
        <v>74</v>
      </c>
      <c r="BI224">
        <v>14</v>
      </c>
      <c r="BJ224" t="s">
        <v>3162</v>
      </c>
      <c r="BK224" t="s">
        <v>569</v>
      </c>
      <c r="BL224" t="s">
        <v>3162</v>
      </c>
      <c r="BM224" t="s">
        <v>3163</v>
      </c>
      <c r="BN224" t="s">
        <v>74</v>
      </c>
      <c r="BO224" t="s">
        <v>74</v>
      </c>
      <c r="BP224" t="s">
        <v>74</v>
      </c>
      <c r="BQ224" t="s">
        <v>74</v>
      </c>
      <c r="BR224" t="s">
        <v>98</v>
      </c>
      <c r="BS224" t="s">
        <v>3164</v>
      </c>
      <c r="BT224" t="str">
        <f>HYPERLINK("https%3A%2F%2Fwww.webofscience.com%2Fwos%2Fwoscc%2Ffull-record%2FWOS:000180902400004","View Full Record in Web of Science")</f>
        <v>View Full Record in Web of Science</v>
      </c>
    </row>
    <row r="225" spans="1:72" x14ac:dyDescent="0.15">
      <c r="A225" t="s">
        <v>552</v>
      </c>
      <c r="B225" t="s">
        <v>3165</v>
      </c>
      <c r="C225" t="s">
        <v>74</v>
      </c>
      <c r="D225" t="s">
        <v>74</v>
      </c>
      <c r="E225" t="s">
        <v>74</v>
      </c>
      <c r="F225" t="s">
        <v>3165</v>
      </c>
      <c r="G225" t="s">
        <v>74</v>
      </c>
      <c r="H225" t="s">
        <v>74</v>
      </c>
      <c r="I225" t="s">
        <v>3166</v>
      </c>
      <c r="J225" t="s">
        <v>3167</v>
      </c>
      <c r="K225" t="s">
        <v>74</v>
      </c>
      <c r="L225" t="s">
        <v>74</v>
      </c>
      <c r="M225" t="s">
        <v>78</v>
      </c>
      <c r="N225" t="s">
        <v>775</v>
      </c>
      <c r="O225" t="s">
        <v>74</v>
      </c>
      <c r="P225" t="s">
        <v>74</v>
      </c>
      <c r="Q225" t="s">
        <v>74</v>
      </c>
      <c r="R225" t="s">
        <v>74</v>
      </c>
      <c r="S225" t="s">
        <v>74</v>
      </c>
      <c r="T225" t="s">
        <v>3168</v>
      </c>
      <c r="U225" t="s">
        <v>74</v>
      </c>
      <c r="V225" t="s">
        <v>74</v>
      </c>
      <c r="W225" t="s">
        <v>3169</v>
      </c>
      <c r="X225" t="s">
        <v>3170</v>
      </c>
      <c r="Y225" t="s">
        <v>3171</v>
      </c>
      <c r="Z225" t="s">
        <v>74</v>
      </c>
      <c r="AA225" t="s">
        <v>3172</v>
      </c>
      <c r="AB225" t="s">
        <v>3173</v>
      </c>
      <c r="AC225" t="s">
        <v>74</v>
      </c>
      <c r="AD225" t="s">
        <v>74</v>
      </c>
      <c r="AE225" t="s">
        <v>74</v>
      </c>
      <c r="AF225" t="s">
        <v>74</v>
      </c>
      <c r="AG225">
        <v>11</v>
      </c>
      <c r="AH225">
        <v>2</v>
      </c>
      <c r="AI225">
        <v>4</v>
      </c>
      <c r="AJ225">
        <v>1</v>
      </c>
      <c r="AK225">
        <v>9</v>
      </c>
      <c r="AL225" t="s">
        <v>2131</v>
      </c>
      <c r="AM225" t="s">
        <v>2132</v>
      </c>
      <c r="AN225" t="s">
        <v>2133</v>
      </c>
      <c r="AO225" t="s">
        <v>3174</v>
      </c>
      <c r="AP225" t="s">
        <v>74</v>
      </c>
      <c r="AQ225" t="s">
        <v>74</v>
      </c>
      <c r="AR225" t="s">
        <v>3175</v>
      </c>
      <c r="AS225" t="s">
        <v>3176</v>
      </c>
      <c r="AT225" t="s">
        <v>74</v>
      </c>
      <c r="AU225">
        <v>2003</v>
      </c>
      <c r="AV225">
        <v>68</v>
      </c>
      <c r="AW225">
        <v>2</v>
      </c>
      <c r="AX225" t="s">
        <v>74</v>
      </c>
      <c r="AY225" t="s">
        <v>74</v>
      </c>
      <c r="AZ225" t="s">
        <v>74</v>
      </c>
      <c r="BA225" t="s">
        <v>74</v>
      </c>
      <c r="BB225">
        <v>118</v>
      </c>
      <c r="BC225">
        <v>121</v>
      </c>
      <c r="BD225" t="s">
        <v>74</v>
      </c>
      <c r="BE225" t="s">
        <v>3177</v>
      </c>
      <c r="BF225" t="str">
        <f>HYPERLINK("http://dx.doi.org/10.1078/1616-5047-00071","http://dx.doi.org/10.1078/1616-5047-00071")</f>
        <v>http://dx.doi.org/10.1078/1616-5047-00071</v>
      </c>
      <c r="BG225" t="s">
        <v>74</v>
      </c>
      <c r="BH225" t="s">
        <v>74</v>
      </c>
      <c r="BI225">
        <v>4</v>
      </c>
      <c r="BJ225" t="s">
        <v>927</v>
      </c>
      <c r="BK225" t="s">
        <v>569</v>
      </c>
      <c r="BL225" t="s">
        <v>927</v>
      </c>
      <c r="BM225" t="s">
        <v>3178</v>
      </c>
      <c r="BN225" t="s">
        <v>74</v>
      </c>
      <c r="BO225" t="s">
        <v>74</v>
      </c>
      <c r="BP225" t="s">
        <v>74</v>
      </c>
      <c r="BQ225" t="s">
        <v>74</v>
      </c>
      <c r="BR225" t="s">
        <v>98</v>
      </c>
      <c r="BS225" t="s">
        <v>3179</v>
      </c>
      <c r="BT225" t="str">
        <f>HYPERLINK("https%3A%2F%2Fwww.webofscience.com%2Fwos%2Fwoscc%2Ffull-record%2FWOS:000182240200007","View Full Record in Web of Science")</f>
        <v>View Full Record in Web of Science</v>
      </c>
    </row>
    <row r="226" spans="1:72" x14ac:dyDescent="0.15">
      <c r="A226" t="s">
        <v>552</v>
      </c>
      <c r="B226" t="s">
        <v>3180</v>
      </c>
      <c r="C226" t="s">
        <v>74</v>
      </c>
      <c r="D226" t="s">
        <v>74</v>
      </c>
      <c r="E226" t="s">
        <v>74</v>
      </c>
      <c r="F226" t="s">
        <v>3180</v>
      </c>
      <c r="G226" t="s">
        <v>74</v>
      </c>
      <c r="H226" t="s">
        <v>74</v>
      </c>
      <c r="I226" t="s">
        <v>3181</v>
      </c>
      <c r="J226" t="s">
        <v>3182</v>
      </c>
      <c r="K226" t="s">
        <v>74</v>
      </c>
      <c r="L226" t="s">
        <v>74</v>
      </c>
      <c r="M226" t="s">
        <v>78</v>
      </c>
      <c r="N226" t="s">
        <v>775</v>
      </c>
      <c r="O226" t="s">
        <v>74</v>
      </c>
      <c r="P226" t="s">
        <v>74</v>
      </c>
      <c r="Q226" t="s">
        <v>74</v>
      </c>
      <c r="R226" t="s">
        <v>74</v>
      </c>
      <c r="S226" t="s">
        <v>74</v>
      </c>
      <c r="T226" t="s">
        <v>3183</v>
      </c>
      <c r="U226" t="s">
        <v>3184</v>
      </c>
      <c r="V226" t="s">
        <v>3185</v>
      </c>
      <c r="W226" t="s">
        <v>3186</v>
      </c>
      <c r="X226" t="s">
        <v>3187</v>
      </c>
      <c r="Y226" t="s">
        <v>3188</v>
      </c>
      <c r="Z226" t="s">
        <v>74</v>
      </c>
      <c r="AA226" t="s">
        <v>3189</v>
      </c>
      <c r="AB226" t="s">
        <v>3190</v>
      </c>
      <c r="AC226" t="s">
        <v>74</v>
      </c>
      <c r="AD226" t="s">
        <v>74</v>
      </c>
      <c r="AE226" t="s">
        <v>74</v>
      </c>
      <c r="AF226" t="s">
        <v>74</v>
      </c>
      <c r="AG226">
        <v>55</v>
      </c>
      <c r="AH226">
        <v>21</v>
      </c>
      <c r="AI226">
        <v>21</v>
      </c>
      <c r="AJ226">
        <v>0</v>
      </c>
      <c r="AK226">
        <v>10</v>
      </c>
      <c r="AL226" t="s">
        <v>1860</v>
      </c>
      <c r="AM226" t="s">
        <v>1861</v>
      </c>
      <c r="AN226" t="s">
        <v>1862</v>
      </c>
      <c r="AO226" t="s">
        <v>3191</v>
      </c>
      <c r="AP226" t="s">
        <v>74</v>
      </c>
      <c r="AQ226" t="s">
        <v>74</v>
      </c>
      <c r="AR226" t="s">
        <v>3192</v>
      </c>
      <c r="AS226" t="s">
        <v>3193</v>
      </c>
      <c r="AT226" t="s">
        <v>566</v>
      </c>
      <c r="AU226">
        <v>2003</v>
      </c>
      <c r="AV226">
        <v>80</v>
      </c>
      <c r="AW226" t="s">
        <v>860</v>
      </c>
      <c r="AX226" t="s">
        <v>74</v>
      </c>
      <c r="AY226" t="s">
        <v>74</v>
      </c>
      <c r="AZ226" t="s">
        <v>74</v>
      </c>
      <c r="BA226" t="s">
        <v>74</v>
      </c>
      <c r="BB226">
        <v>145</v>
      </c>
      <c r="BC226">
        <v>159</v>
      </c>
      <c r="BD226" t="s">
        <v>3194</v>
      </c>
      <c r="BE226" t="s">
        <v>3195</v>
      </c>
      <c r="BF226" t="str">
        <f>HYPERLINK("http://dx.doi.org/10.1016/S0304-4203(02)00115-9","http://dx.doi.org/10.1016/S0304-4203(02)00115-9")</f>
        <v>http://dx.doi.org/10.1016/S0304-4203(02)00115-9</v>
      </c>
      <c r="BG226" t="s">
        <v>74</v>
      </c>
      <c r="BH226" t="s">
        <v>74</v>
      </c>
      <c r="BI226">
        <v>15</v>
      </c>
      <c r="BJ226" t="s">
        <v>3196</v>
      </c>
      <c r="BK226" t="s">
        <v>569</v>
      </c>
      <c r="BL226" t="s">
        <v>3197</v>
      </c>
      <c r="BM226" t="s">
        <v>3198</v>
      </c>
      <c r="BN226" t="s">
        <v>74</v>
      </c>
      <c r="BO226" t="s">
        <v>74</v>
      </c>
      <c r="BP226" t="s">
        <v>74</v>
      </c>
      <c r="BQ226" t="s">
        <v>74</v>
      </c>
      <c r="BR226" t="s">
        <v>98</v>
      </c>
      <c r="BS226" t="s">
        <v>3199</v>
      </c>
      <c r="BT226" t="str">
        <f>HYPERLINK("https%3A%2F%2Fwww.webofscience.com%2Fwos%2Fwoscc%2Ffull-record%2FWOS:000181010400004","View Full Record in Web of Science")</f>
        <v>View Full Record in Web of Science</v>
      </c>
    </row>
    <row r="227" spans="1:72" x14ac:dyDescent="0.15">
      <c r="A227" t="s">
        <v>552</v>
      </c>
      <c r="B227" t="s">
        <v>3200</v>
      </c>
      <c r="C227" t="s">
        <v>74</v>
      </c>
      <c r="D227" t="s">
        <v>74</v>
      </c>
      <c r="E227" t="s">
        <v>74</v>
      </c>
      <c r="F227" t="s">
        <v>3200</v>
      </c>
      <c r="G227" t="s">
        <v>74</v>
      </c>
      <c r="H227" t="s">
        <v>74</v>
      </c>
      <c r="I227" t="s">
        <v>3201</v>
      </c>
      <c r="J227" t="s">
        <v>3202</v>
      </c>
      <c r="K227" t="s">
        <v>74</v>
      </c>
      <c r="L227" t="s">
        <v>74</v>
      </c>
      <c r="M227" t="s">
        <v>78</v>
      </c>
      <c r="N227" t="s">
        <v>775</v>
      </c>
      <c r="O227" t="s">
        <v>74</v>
      </c>
      <c r="P227" t="s">
        <v>74</v>
      </c>
      <c r="Q227" t="s">
        <v>74</v>
      </c>
      <c r="R227" t="s">
        <v>74</v>
      </c>
      <c r="S227" t="s">
        <v>74</v>
      </c>
      <c r="T227" t="s">
        <v>3203</v>
      </c>
      <c r="U227" t="s">
        <v>3204</v>
      </c>
      <c r="V227" t="s">
        <v>3205</v>
      </c>
      <c r="W227" t="s">
        <v>3206</v>
      </c>
      <c r="X227" t="s">
        <v>1774</v>
      </c>
      <c r="Y227" t="s">
        <v>3207</v>
      </c>
      <c r="Z227" t="s">
        <v>3208</v>
      </c>
      <c r="AA227" t="s">
        <v>74</v>
      </c>
      <c r="AB227" t="s">
        <v>74</v>
      </c>
      <c r="AC227" t="s">
        <v>74</v>
      </c>
      <c r="AD227" t="s">
        <v>74</v>
      </c>
      <c r="AE227" t="s">
        <v>74</v>
      </c>
      <c r="AF227" t="s">
        <v>74</v>
      </c>
      <c r="AG227">
        <v>91</v>
      </c>
      <c r="AH227">
        <v>213</v>
      </c>
      <c r="AI227">
        <v>249</v>
      </c>
      <c r="AJ227">
        <v>3</v>
      </c>
      <c r="AK227">
        <v>95</v>
      </c>
      <c r="AL227" t="s">
        <v>3209</v>
      </c>
      <c r="AM227" t="s">
        <v>3210</v>
      </c>
      <c r="AN227" t="s">
        <v>3211</v>
      </c>
      <c r="AO227" t="s">
        <v>3212</v>
      </c>
      <c r="AP227" t="s">
        <v>3213</v>
      </c>
      <c r="AQ227" t="s">
        <v>74</v>
      </c>
      <c r="AR227" t="s">
        <v>3214</v>
      </c>
      <c r="AS227" t="s">
        <v>3215</v>
      </c>
      <c r="AT227" t="s">
        <v>74</v>
      </c>
      <c r="AU227">
        <v>2003</v>
      </c>
      <c r="AV227">
        <v>265</v>
      </c>
      <c r="AW227" t="s">
        <v>74</v>
      </c>
      <c r="AX227" t="s">
        <v>74</v>
      </c>
      <c r="AY227" t="s">
        <v>74</v>
      </c>
      <c r="AZ227" t="s">
        <v>74</v>
      </c>
      <c r="BA227" t="s">
        <v>74</v>
      </c>
      <c r="BB227">
        <v>1</v>
      </c>
      <c r="BC227">
        <v>15</v>
      </c>
      <c r="BD227" t="s">
        <v>74</v>
      </c>
      <c r="BE227" t="s">
        <v>3216</v>
      </c>
      <c r="BF227" t="str">
        <f>HYPERLINK("http://dx.doi.org/10.3354/meps265001","http://dx.doi.org/10.3354/meps265001")</f>
        <v>http://dx.doi.org/10.3354/meps265001</v>
      </c>
      <c r="BG227" t="s">
        <v>74</v>
      </c>
      <c r="BH227" t="s">
        <v>74</v>
      </c>
      <c r="BI227">
        <v>15</v>
      </c>
      <c r="BJ227" t="s">
        <v>3217</v>
      </c>
      <c r="BK227" t="s">
        <v>569</v>
      </c>
      <c r="BL227" t="s">
        <v>3218</v>
      </c>
      <c r="BM227" t="s">
        <v>3219</v>
      </c>
      <c r="BN227" t="s">
        <v>74</v>
      </c>
      <c r="BO227" t="s">
        <v>3220</v>
      </c>
      <c r="BP227" t="s">
        <v>74</v>
      </c>
      <c r="BQ227" t="s">
        <v>74</v>
      </c>
      <c r="BR227" t="s">
        <v>98</v>
      </c>
      <c r="BS227" t="s">
        <v>3221</v>
      </c>
      <c r="BT227" t="str">
        <f>HYPERLINK("https%3A%2F%2Fwww.webofscience.com%2Fwos%2Fwoscc%2Ffull-record%2FWOS:000188774900001","View Full Record in Web of Science")</f>
        <v>View Full Record in Web of Science</v>
      </c>
    </row>
    <row r="228" spans="1:72" x14ac:dyDescent="0.15">
      <c r="A228" t="s">
        <v>552</v>
      </c>
      <c r="B228" t="s">
        <v>3222</v>
      </c>
      <c r="C228" t="s">
        <v>74</v>
      </c>
      <c r="D228" t="s">
        <v>74</v>
      </c>
      <c r="E228" t="s">
        <v>74</v>
      </c>
      <c r="F228" t="s">
        <v>3222</v>
      </c>
      <c r="G228" t="s">
        <v>74</v>
      </c>
      <c r="H228" t="s">
        <v>74</v>
      </c>
      <c r="I228" t="s">
        <v>3223</v>
      </c>
      <c r="J228" t="s">
        <v>3202</v>
      </c>
      <c r="K228" t="s">
        <v>74</v>
      </c>
      <c r="L228" t="s">
        <v>74</v>
      </c>
      <c r="M228" t="s">
        <v>78</v>
      </c>
      <c r="N228" t="s">
        <v>775</v>
      </c>
      <c r="O228" t="s">
        <v>74</v>
      </c>
      <c r="P228" t="s">
        <v>74</v>
      </c>
      <c r="Q228" t="s">
        <v>74</v>
      </c>
      <c r="R228" t="s">
        <v>74</v>
      </c>
      <c r="S228" t="s">
        <v>74</v>
      </c>
      <c r="T228" t="s">
        <v>3224</v>
      </c>
      <c r="U228" t="s">
        <v>3225</v>
      </c>
      <c r="V228" t="s">
        <v>3226</v>
      </c>
      <c r="W228" t="s">
        <v>3227</v>
      </c>
      <c r="X228" t="s">
        <v>3228</v>
      </c>
      <c r="Y228" t="s">
        <v>3229</v>
      </c>
      <c r="Z228" t="s">
        <v>3230</v>
      </c>
      <c r="AA228" t="s">
        <v>3231</v>
      </c>
      <c r="AB228" t="s">
        <v>3232</v>
      </c>
      <c r="AC228" t="s">
        <v>74</v>
      </c>
      <c r="AD228" t="s">
        <v>74</v>
      </c>
      <c r="AE228" t="s">
        <v>74</v>
      </c>
      <c r="AF228" t="s">
        <v>74</v>
      </c>
      <c r="AG228">
        <v>41</v>
      </c>
      <c r="AH228">
        <v>85</v>
      </c>
      <c r="AI228">
        <v>92</v>
      </c>
      <c r="AJ228">
        <v>0</v>
      </c>
      <c r="AK228">
        <v>9</v>
      </c>
      <c r="AL228" t="s">
        <v>3209</v>
      </c>
      <c r="AM228" t="s">
        <v>3210</v>
      </c>
      <c r="AN228" t="s">
        <v>3211</v>
      </c>
      <c r="AO228" t="s">
        <v>3212</v>
      </c>
      <c r="AP228" t="s">
        <v>74</v>
      </c>
      <c r="AQ228" t="s">
        <v>74</v>
      </c>
      <c r="AR228" t="s">
        <v>3214</v>
      </c>
      <c r="AS228" t="s">
        <v>3215</v>
      </c>
      <c r="AT228" t="s">
        <v>74</v>
      </c>
      <c r="AU228">
        <v>2003</v>
      </c>
      <c r="AV228">
        <v>264</v>
      </c>
      <c r="AW228" t="s">
        <v>74</v>
      </c>
      <c r="AX228" t="s">
        <v>74</v>
      </c>
      <c r="AY228" t="s">
        <v>74</v>
      </c>
      <c r="AZ228" t="s">
        <v>74</v>
      </c>
      <c r="BA228" t="s">
        <v>74</v>
      </c>
      <c r="BB228">
        <v>109</v>
      </c>
      <c r="BC228">
        <v>122</v>
      </c>
      <c r="BD228" t="s">
        <v>74</v>
      </c>
      <c r="BE228" t="s">
        <v>3233</v>
      </c>
      <c r="BF228" t="str">
        <f>HYPERLINK("http://dx.doi.org/10.3354/meps264109","http://dx.doi.org/10.3354/meps264109")</f>
        <v>http://dx.doi.org/10.3354/meps264109</v>
      </c>
      <c r="BG228" t="s">
        <v>74</v>
      </c>
      <c r="BH228" t="s">
        <v>74</v>
      </c>
      <c r="BI228">
        <v>14</v>
      </c>
      <c r="BJ228" t="s">
        <v>3217</v>
      </c>
      <c r="BK228" t="s">
        <v>569</v>
      </c>
      <c r="BL228" t="s">
        <v>3218</v>
      </c>
      <c r="BM228" t="s">
        <v>3234</v>
      </c>
      <c r="BN228" t="s">
        <v>74</v>
      </c>
      <c r="BO228" t="s">
        <v>572</v>
      </c>
      <c r="BP228" t="s">
        <v>74</v>
      </c>
      <c r="BQ228" t="s">
        <v>74</v>
      </c>
      <c r="BR228" t="s">
        <v>98</v>
      </c>
      <c r="BS228" t="s">
        <v>3235</v>
      </c>
      <c r="BT228" t="str">
        <f>HYPERLINK("https%3A%2F%2Fwww.webofscience.com%2Fwos%2Fwoscc%2Ffull-record%2FWOS:000188586200010","View Full Record in Web of Science")</f>
        <v>View Full Record in Web of Science</v>
      </c>
    </row>
    <row r="229" spans="1:72" x14ac:dyDescent="0.15">
      <c r="A229" t="s">
        <v>552</v>
      </c>
      <c r="B229" t="s">
        <v>3236</v>
      </c>
      <c r="C229" t="s">
        <v>74</v>
      </c>
      <c r="D229" t="s">
        <v>74</v>
      </c>
      <c r="E229" t="s">
        <v>74</v>
      </c>
      <c r="F229" t="s">
        <v>3236</v>
      </c>
      <c r="G229" t="s">
        <v>74</v>
      </c>
      <c r="H229" t="s">
        <v>74</v>
      </c>
      <c r="I229" t="s">
        <v>3237</v>
      </c>
      <c r="J229" t="s">
        <v>3202</v>
      </c>
      <c r="K229" t="s">
        <v>74</v>
      </c>
      <c r="L229" t="s">
        <v>74</v>
      </c>
      <c r="M229" t="s">
        <v>78</v>
      </c>
      <c r="N229" t="s">
        <v>775</v>
      </c>
      <c r="O229" t="s">
        <v>74</v>
      </c>
      <c r="P229" t="s">
        <v>74</v>
      </c>
      <c r="Q229" t="s">
        <v>74</v>
      </c>
      <c r="R229" t="s">
        <v>74</v>
      </c>
      <c r="S229" t="s">
        <v>74</v>
      </c>
      <c r="T229" t="s">
        <v>3238</v>
      </c>
      <c r="U229" t="s">
        <v>3239</v>
      </c>
      <c r="V229" t="s">
        <v>3240</v>
      </c>
      <c r="W229" t="s">
        <v>301</v>
      </c>
      <c r="X229" t="s">
        <v>302</v>
      </c>
      <c r="Y229" t="s">
        <v>3241</v>
      </c>
      <c r="Z229" t="s">
        <v>3242</v>
      </c>
      <c r="AA229" t="s">
        <v>74</v>
      </c>
      <c r="AB229" t="s">
        <v>3243</v>
      </c>
      <c r="AC229" t="s">
        <v>74</v>
      </c>
      <c r="AD229" t="s">
        <v>74</v>
      </c>
      <c r="AE229" t="s">
        <v>74</v>
      </c>
      <c r="AF229" t="s">
        <v>74</v>
      </c>
      <c r="AG229">
        <v>48</v>
      </c>
      <c r="AH229">
        <v>14</v>
      </c>
      <c r="AI229">
        <v>14</v>
      </c>
      <c r="AJ229">
        <v>1</v>
      </c>
      <c r="AK229">
        <v>11</v>
      </c>
      <c r="AL229" t="s">
        <v>3209</v>
      </c>
      <c r="AM229" t="s">
        <v>3210</v>
      </c>
      <c r="AN229" t="s">
        <v>3211</v>
      </c>
      <c r="AO229" t="s">
        <v>3212</v>
      </c>
      <c r="AP229" t="s">
        <v>3213</v>
      </c>
      <c r="AQ229" t="s">
        <v>74</v>
      </c>
      <c r="AR229" t="s">
        <v>3214</v>
      </c>
      <c r="AS229" t="s">
        <v>3215</v>
      </c>
      <c r="AT229" t="s">
        <v>74</v>
      </c>
      <c r="AU229">
        <v>2003</v>
      </c>
      <c r="AV229">
        <v>263</v>
      </c>
      <c r="AW229" t="s">
        <v>74</v>
      </c>
      <c r="AX229" t="s">
        <v>74</v>
      </c>
      <c r="AY229" t="s">
        <v>74</v>
      </c>
      <c r="AZ229" t="s">
        <v>74</v>
      </c>
      <c r="BA229" t="s">
        <v>74</v>
      </c>
      <c r="BB229">
        <v>275</v>
      </c>
      <c r="BC229">
        <v>285</v>
      </c>
      <c r="BD229" t="s">
        <v>74</v>
      </c>
      <c r="BE229" t="s">
        <v>3244</v>
      </c>
      <c r="BF229" t="str">
        <f>HYPERLINK("http://dx.doi.org/10.3354/meps263275","http://dx.doi.org/10.3354/meps263275")</f>
        <v>http://dx.doi.org/10.3354/meps263275</v>
      </c>
      <c r="BG229" t="s">
        <v>74</v>
      </c>
      <c r="BH229" t="s">
        <v>74</v>
      </c>
      <c r="BI229">
        <v>11</v>
      </c>
      <c r="BJ229" t="s">
        <v>3217</v>
      </c>
      <c r="BK229" t="s">
        <v>569</v>
      </c>
      <c r="BL229" t="s">
        <v>3218</v>
      </c>
      <c r="BM229" t="s">
        <v>3245</v>
      </c>
      <c r="BN229" t="s">
        <v>74</v>
      </c>
      <c r="BO229" t="s">
        <v>572</v>
      </c>
      <c r="BP229" t="s">
        <v>74</v>
      </c>
      <c r="BQ229" t="s">
        <v>74</v>
      </c>
      <c r="BR229" t="s">
        <v>98</v>
      </c>
      <c r="BS229" t="s">
        <v>3246</v>
      </c>
      <c r="BT229" t="str">
        <f>HYPERLINK("https%3A%2F%2Fwww.webofscience.com%2Fwos%2Fwoscc%2Ffull-record%2FWOS:000187934600023","View Full Record in Web of Science")</f>
        <v>View Full Record in Web of Science</v>
      </c>
    </row>
    <row r="230" spans="1:72" x14ac:dyDescent="0.15">
      <c r="A230" t="s">
        <v>552</v>
      </c>
      <c r="B230" t="s">
        <v>3247</v>
      </c>
      <c r="C230" t="s">
        <v>74</v>
      </c>
      <c r="D230" t="s">
        <v>74</v>
      </c>
      <c r="E230" t="s">
        <v>74</v>
      </c>
      <c r="F230" t="s">
        <v>3247</v>
      </c>
      <c r="G230" t="s">
        <v>74</v>
      </c>
      <c r="H230" t="s">
        <v>74</v>
      </c>
      <c r="I230" t="s">
        <v>3248</v>
      </c>
      <c r="J230" t="s">
        <v>3202</v>
      </c>
      <c r="K230" t="s">
        <v>74</v>
      </c>
      <c r="L230" t="s">
        <v>74</v>
      </c>
      <c r="M230" t="s">
        <v>78</v>
      </c>
      <c r="N230" t="s">
        <v>1114</v>
      </c>
      <c r="O230" t="s">
        <v>74</v>
      </c>
      <c r="P230" t="s">
        <v>74</v>
      </c>
      <c r="Q230" t="s">
        <v>74</v>
      </c>
      <c r="R230" t="s">
        <v>74</v>
      </c>
      <c r="S230" t="s">
        <v>74</v>
      </c>
      <c r="T230" t="s">
        <v>3249</v>
      </c>
      <c r="U230" t="s">
        <v>3250</v>
      </c>
      <c r="V230" t="s">
        <v>3251</v>
      </c>
      <c r="W230" t="s">
        <v>3252</v>
      </c>
      <c r="X230" t="s">
        <v>3253</v>
      </c>
      <c r="Y230" t="s">
        <v>3254</v>
      </c>
      <c r="Z230" t="s">
        <v>3255</v>
      </c>
      <c r="AA230" t="s">
        <v>3256</v>
      </c>
      <c r="AB230" t="s">
        <v>3257</v>
      </c>
      <c r="AC230" t="s">
        <v>74</v>
      </c>
      <c r="AD230" t="s">
        <v>74</v>
      </c>
      <c r="AE230" t="s">
        <v>74</v>
      </c>
      <c r="AF230" t="s">
        <v>74</v>
      </c>
      <c r="AG230">
        <v>119</v>
      </c>
      <c r="AH230">
        <v>120</v>
      </c>
      <c r="AI230">
        <v>122</v>
      </c>
      <c r="AJ230">
        <v>2</v>
      </c>
      <c r="AK230">
        <v>25</v>
      </c>
      <c r="AL230" t="s">
        <v>3209</v>
      </c>
      <c r="AM230" t="s">
        <v>3210</v>
      </c>
      <c r="AN230" t="s">
        <v>3211</v>
      </c>
      <c r="AO230" t="s">
        <v>3212</v>
      </c>
      <c r="AP230" t="s">
        <v>3213</v>
      </c>
      <c r="AQ230" t="s">
        <v>74</v>
      </c>
      <c r="AR230" t="s">
        <v>3214</v>
      </c>
      <c r="AS230" t="s">
        <v>3215</v>
      </c>
      <c r="AT230" t="s">
        <v>74</v>
      </c>
      <c r="AU230">
        <v>2003</v>
      </c>
      <c r="AV230">
        <v>262</v>
      </c>
      <c r="AW230" t="s">
        <v>74</v>
      </c>
      <c r="AX230" t="s">
        <v>74</v>
      </c>
      <c r="AY230" t="s">
        <v>74</v>
      </c>
      <c r="AZ230" t="s">
        <v>74</v>
      </c>
      <c r="BA230" t="s">
        <v>74</v>
      </c>
      <c r="BB230">
        <v>153</v>
      </c>
      <c r="BC230">
        <v>162</v>
      </c>
      <c r="BD230" t="s">
        <v>74</v>
      </c>
      <c r="BE230" t="s">
        <v>3258</v>
      </c>
      <c r="BF230" t="str">
        <f>HYPERLINK("http://dx.doi.org/10.3354/meps262153","http://dx.doi.org/10.3354/meps262153")</f>
        <v>http://dx.doi.org/10.3354/meps262153</v>
      </c>
      <c r="BG230" t="s">
        <v>74</v>
      </c>
      <c r="BH230" t="s">
        <v>74</v>
      </c>
      <c r="BI230">
        <v>10</v>
      </c>
      <c r="BJ230" t="s">
        <v>3217</v>
      </c>
      <c r="BK230" t="s">
        <v>569</v>
      </c>
      <c r="BL230" t="s">
        <v>3218</v>
      </c>
      <c r="BM230" t="s">
        <v>3259</v>
      </c>
      <c r="BN230" t="s">
        <v>74</v>
      </c>
      <c r="BO230" t="s">
        <v>3260</v>
      </c>
      <c r="BP230" t="s">
        <v>74</v>
      </c>
      <c r="BQ230" t="s">
        <v>74</v>
      </c>
      <c r="BR230" t="s">
        <v>98</v>
      </c>
      <c r="BS230" t="s">
        <v>3261</v>
      </c>
      <c r="BT230" t="str">
        <f>HYPERLINK("https%3A%2F%2Fwww.webofscience.com%2Fwos%2Fwoscc%2Ffull-record%2FWOS:000187082600012","View Full Record in Web of Science")</f>
        <v>View Full Record in Web of Science</v>
      </c>
    </row>
    <row r="231" spans="1:72" x14ac:dyDescent="0.15">
      <c r="A231" t="s">
        <v>552</v>
      </c>
      <c r="B231" t="s">
        <v>3262</v>
      </c>
      <c r="C231" t="s">
        <v>74</v>
      </c>
      <c r="D231" t="s">
        <v>74</v>
      </c>
      <c r="E231" t="s">
        <v>74</v>
      </c>
      <c r="F231" t="s">
        <v>3262</v>
      </c>
      <c r="G231" t="s">
        <v>74</v>
      </c>
      <c r="H231" t="s">
        <v>74</v>
      </c>
      <c r="I231" t="s">
        <v>3263</v>
      </c>
      <c r="J231" t="s">
        <v>3202</v>
      </c>
      <c r="K231" t="s">
        <v>74</v>
      </c>
      <c r="L231" t="s">
        <v>74</v>
      </c>
      <c r="M231" t="s">
        <v>78</v>
      </c>
      <c r="N231" t="s">
        <v>775</v>
      </c>
      <c r="O231" t="s">
        <v>74</v>
      </c>
      <c r="P231" t="s">
        <v>74</v>
      </c>
      <c r="Q231" t="s">
        <v>74</v>
      </c>
      <c r="R231" t="s">
        <v>74</v>
      </c>
      <c r="S231" t="s">
        <v>74</v>
      </c>
      <c r="T231" t="s">
        <v>3264</v>
      </c>
      <c r="U231" t="s">
        <v>3265</v>
      </c>
      <c r="V231" t="s">
        <v>3266</v>
      </c>
      <c r="W231" t="s">
        <v>3267</v>
      </c>
      <c r="X231" t="s">
        <v>3268</v>
      </c>
      <c r="Y231" t="s">
        <v>3269</v>
      </c>
      <c r="Z231" t="s">
        <v>3270</v>
      </c>
      <c r="AA231" t="s">
        <v>3271</v>
      </c>
      <c r="AB231" t="s">
        <v>3272</v>
      </c>
      <c r="AC231" t="s">
        <v>74</v>
      </c>
      <c r="AD231" t="s">
        <v>74</v>
      </c>
      <c r="AE231" t="s">
        <v>74</v>
      </c>
      <c r="AF231" t="s">
        <v>74</v>
      </c>
      <c r="AG231">
        <v>41</v>
      </c>
      <c r="AH231">
        <v>98</v>
      </c>
      <c r="AI231">
        <v>102</v>
      </c>
      <c r="AJ231">
        <v>0</v>
      </c>
      <c r="AK231">
        <v>19</v>
      </c>
      <c r="AL231" t="s">
        <v>3209</v>
      </c>
      <c r="AM231" t="s">
        <v>3210</v>
      </c>
      <c r="AN231" t="s">
        <v>3211</v>
      </c>
      <c r="AO231" t="s">
        <v>3212</v>
      </c>
      <c r="AP231" t="s">
        <v>3213</v>
      </c>
      <c r="AQ231" t="s">
        <v>74</v>
      </c>
      <c r="AR231" t="s">
        <v>3214</v>
      </c>
      <c r="AS231" t="s">
        <v>3215</v>
      </c>
      <c r="AT231" t="s">
        <v>74</v>
      </c>
      <c r="AU231">
        <v>2003</v>
      </c>
      <c r="AV231">
        <v>262</v>
      </c>
      <c r="AW231" t="s">
        <v>74</v>
      </c>
      <c r="AX231" t="s">
        <v>74</v>
      </c>
      <c r="AY231" t="s">
        <v>74</v>
      </c>
      <c r="AZ231" t="s">
        <v>74</v>
      </c>
      <c r="BA231" t="s">
        <v>74</v>
      </c>
      <c r="BB231">
        <v>253</v>
      </c>
      <c r="BC231">
        <v>265</v>
      </c>
      <c r="BD231" t="s">
        <v>74</v>
      </c>
      <c r="BE231" t="s">
        <v>3273</v>
      </c>
      <c r="BF231" t="str">
        <f>HYPERLINK("http://dx.doi.org/10.3354/meps262253","http://dx.doi.org/10.3354/meps262253")</f>
        <v>http://dx.doi.org/10.3354/meps262253</v>
      </c>
      <c r="BG231" t="s">
        <v>74</v>
      </c>
      <c r="BH231" t="s">
        <v>74</v>
      </c>
      <c r="BI231">
        <v>13</v>
      </c>
      <c r="BJ231" t="s">
        <v>3217</v>
      </c>
      <c r="BK231" t="s">
        <v>569</v>
      </c>
      <c r="BL231" t="s">
        <v>3218</v>
      </c>
      <c r="BM231" t="s">
        <v>3259</v>
      </c>
      <c r="BN231" t="s">
        <v>74</v>
      </c>
      <c r="BO231" t="s">
        <v>3274</v>
      </c>
      <c r="BP231" t="s">
        <v>74</v>
      </c>
      <c r="BQ231" t="s">
        <v>74</v>
      </c>
      <c r="BR231" t="s">
        <v>98</v>
      </c>
      <c r="BS231" t="s">
        <v>3275</v>
      </c>
      <c r="BT231" t="str">
        <f>HYPERLINK("https%3A%2F%2Fwww.webofscience.com%2Fwos%2Fwoscc%2Ffull-record%2FWOS:000187082600021","View Full Record in Web of Science")</f>
        <v>View Full Record in Web of Science</v>
      </c>
    </row>
    <row r="232" spans="1:72" x14ac:dyDescent="0.15">
      <c r="A232" t="s">
        <v>552</v>
      </c>
      <c r="B232" t="s">
        <v>3276</v>
      </c>
      <c r="C232" t="s">
        <v>74</v>
      </c>
      <c r="D232" t="s">
        <v>74</v>
      </c>
      <c r="E232" t="s">
        <v>74</v>
      </c>
      <c r="F232" t="s">
        <v>3276</v>
      </c>
      <c r="G232" t="s">
        <v>74</v>
      </c>
      <c r="H232" t="s">
        <v>74</v>
      </c>
      <c r="I232" t="s">
        <v>3277</v>
      </c>
      <c r="J232" t="s">
        <v>3202</v>
      </c>
      <c r="K232" t="s">
        <v>74</v>
      </c>
      <c r="L232" t="s">
        <v>74</v>
      </c>
      <c r="M232" t="s">
        <v>78</v>
      </c>
      <c r="N232" t="s">
        <v>775</v>
      </c>
      <c r="O232" t="s">
        <v>74</v>
      </c>
      <c r="P232" t="s">
        <v>74</v>
      </c>
      <c r="Q232" t="s">
        <v>74</v>
      </c>
      <c r="R232" t="s">
        <v>74</v>
      </c>
      <c r="S232" t="s">
        <v>74</v>
      </c>
      <c r="T232" t="s">
        <v>3278</v>
      </c>
      <c r="U232" t="s">
        <v>3279</v>
      </c>
      <c r="V232" t="s">
        <v>3280</v>
      </c>
      <c r="W232" t="s">
        <v>3281</v>
      </c>
      <c r="X232" t="s">
        <v>239</v>
      </c>
      <c r="Y232" t="s">
        <v>3282</v>
      </c>
      <c r="Z232" t="s">
        <v>3283</v>
      </c>
      <c r="AA232" t="s">
        <v>74</v>
      </c>
      <c r="AB232" t="s">
        <v>3284</v>
      </c>
      <c r="AC232" t="s">
        <v>74</v>
      </c>
      <c r="AD232" t="s">
        <v>74</v>
      </c>
      <c r="AE232" t="s">
        <v>74</v>
      </c>
      <c r="AF232" t="s">
        <v>74</v>
      </c>
      <c r="AG232">
        <v>17</v>
      </c>
      <c r="AH232">
        <v>106</v>
      </c>
      <c r="AI232">
        <v>116</v>
      </c>
      <c r="AJ232">
        <v>0</v>
      </c>
      <c r="AK232">
        <v>49</v>
      </c>
      <c r="AL232" t="s">
        <v>3209</v>
      </c>
      <c r="AM232" t="s">
        <v>3210</v>
      </c>
      <c r="AN232" t="s">
        <v>3211</v>
      </c>
      <c r="AO232" t="s">
        <v>3212</v>
      </c>
      <c r="AP232" t="s">
        <v>74</v>
      </c>
      <c r="AQ232" t="s">
        <v>74</v>
      </c>
      <c r="AR232" t="s">
        <v>3214</v>
      </c>
      <c r="AS232" t="s">
        <v>3215</v>
      </c>
      <c r="AT232" t="s">
        <v>74</v>
      </c>
      <c r="AU232">
        <v>2003</v>
      </c>
      <c r="AV232">
        <v>262</v>
      </c>
      <c r="AW232" t="s">
        <v>74</v>
      </c>
      <c r="AX232" t="s">
        <v>74</v>
      </c>
      <c r="AY232" t="s">
        <v>74</v>
      </c>
      <c r="AZ232" t="s">
        <v>74</v>
      </c>
      <c r="BA232" t="s">
        <v>74</v>
      </c>
      <c r="BB232">
        <v>289</v>
      </c>
      <c r="BC232">
        <v>291</v>
      </c>
      <c r="BD232" t="s">
        <v>74</v>
      </c>
      <c r="BE232" t="s">
        <v>3285</v>
      </c>
      <c r="BF232" t="str">
        <f>HYPERLINK("http://dx.doi.org/10.3354/meps262289","http://dx.doi.org/10.3354/meps262289")</f>
        <v>http://dx.doi.org/10.3354/meps262289</v>
      </c>
      <c r="BG232" t="s">
        <v>74</v>
      </c>
      <c r="BH232" t="s">
        <v>74</v>
      </c>
      <c r="BI232">
        <v>3</v>
      </c>
      <c r="BJ232" t="s">
        <v>3217</v>
      </c>
      <c r="BK232" t="s">
        <v>569</v>
      </c>
      <c r="BL232" t="s">
        <v>3218</v>
      </c>
      <c r="BM232" t="s">
        <v>3259</v>
      </c>
      <c r="BN232" t="s">
        <v>74</v>
      </c>
      <c r="BO232" t="s">
        <v>3274</v>
      </c>
      <c r="BP232" t="s">
        <v>74</v>
      </c>
      <c r="BQ232" t="s">
        <v>74</v>
      </c>
      <c r="BR232" t="s">
        <v>98</v>
      </c>
      <c r="BS232" t="s">
        <v>3286</v>
      </c>
      <c r="BT232" t="str">
        <f>HYPERLINK("https%3A%2F%2Fwww.webofscience.com%2Fwos%2Fwoscc%2Ffull-record%2FWOS:000187082600025","View Full Record in Web of Science")</f>
        <v>View Full Record in Web of Science</v>
      </c>
    </row>
    <row r="233" spans="1:72" x14ac:dyDescent="0.15">
      <c r="A233" t="s">
        <v>552</v>
      </c>
      <c r="B233" t="s">
        <v>3287</v>
      </c>
      <c r="C233" t="s">
        <v>74</v>
      </c>
      <c r="D233" t="s">
        <v>74</v>
      </c>
      <c r="E233" t="s">
        <v>74</v>
      </c>
      <c r="F233" t="s">
        <v>3287</v>
      </c>
      <c r="G233" t="s">
        <v>74</v>
      </c>
      <c r="H233" t="s">
        <v>74</v>
      </c>
      <c r="I233" t="s">
        <v>3288</v>
      </c>
      <c r="J233" t="s">
        <v>3202</v>
      </c>
      <c r="K233" t="s">
        <v>74</v>
      </c>
      <c r="L233" t="s">
        <v>74</v>
      </c>
      <c r="M233" t="s">
        <v>78</v>
      </c>
      <c r="N233" t="s">
        <v>775</v>
      </c>
      <c r="O233" t="s">
        <v>74</v>
      </c>
      <c r="P233" t="s">
        <v>74</v>
      </c>
      <c r="Q233" t="s">
        <v>74</v>
      </c>
      <c r="R233" t="s">
        <v>74</v>
      </c>
      <c r="S233" t="s">
        <v>74</v>
      </c>
      <c r="T233" t="s">
        <v>3289</v>
      </c>
      <c r="U233" t="s">
        <v>3290</v>
      </c>
      <c r="V233" t="s">
        <v>3291</v>
      </c>
      <c r="W233" t="s">
        <v>3292</v>
      </c>
      <c r="X233" t="s">
        <v>3293</v>
      </c>
      <c r="Y233" t="s">
        <v>3294</v>
      </c>
      <c r="Z233" t="s">
        <v>3295</v>
      </c>
      <c r="AA233" t="s">
        <v>74</v>
      </c>
      <c r="AB233" t="s">
        <v>74</v>
      </c>
      <c r="AC233" t="s">
        <v>74</v>
      </c>
      <c r="AD233" t="s">
        <v>74</v>
      </c>
      <c r="AE233" t="s">
        <v>74</v>
      </c>
      <c r="AF233" t="s">
        <v>74</v>
      </c>
      <c r="AG233">
        <v>75</v>
      </c>
      <c r="AH233">
        <v>141</v>
      </c>
      <c r="AI233">
        <v>150</v>
      </c>
      <c r="AJ233">
        <v>4</v>
      </c>
      <c r="AK233">
        <v>38</v>
      </c>
      <c r="AL233" t="s">
        <v>3209</v>
      </c>
      <c r="AM233" t="s">
        <v>3210</v>
      </c>
      <c r="AN233" t="s">
        <v>3211</v>
      </c>
      <c r="AO233" t="s">
        <v>3212</v>
      </c>
      <c r="AP233" t="s">
        <v>3213</v>
      </c>
      <c r="AQ233" t="s">
        <v>74</v>
      </c>
      <c r="AR233" t="s">
        <v>3214</v>
      </c>
      <c r="AS233" t="s">
        <v>3215</v>
      </c>
      <c r="AT233" t="s">
        <v>74</v>
      </c>
      <c r="AU233">
        <v>2003</v>
      </c>
      <c r="AV233">
        <v>261</v>
      </c>
      <c r="AW233" t="s">
        <v>74</v>
      </c>
      <c r="AX233" t="s">
        <v>74</v>
      </c>
      <c r="AY233" t="s">
        <v>74</v>
      </c>
      <c r="AZ233" t="s">
        <v>74</v>
      </c>
      <c r="BA233" t="s">
        <v>74</v>
      </c>
      <c r="BB233">
        <v>21</v>
      </c>
      <c r="BC233">
        <v>39</v>
      </c>
      <c r="BD233" t="s">
        <v>74</v>
      </c>
      <c r="BE233" t="s">
        <v>3296</v>
      </c>
      <c r="BF233" t="str">
        <f>HYPERLINK("http://dx.doi.org/10.3354/meps261021","http://dx.doi.org/10.3354/meps261021")</f>
        <v>http://dx.doi.org/10.3354/meps261021</v>
      </c>
      <c r="BG233" t="s">
        <v>74</v>
      </c>
      <c r="BH233" t="s">
        <v>74</v>
      </c>
      <c r="BI233">
        <v>19</v>
      </c>
      <c r="BJ233" t="s">
        <v>3217</v>
      </c>
      <c r="BK233" t="s">
        <v>569</v>
      </c>
      <c r="BL233" t="s">
        <v>3218</v>
      </c>
      <c r="BM233" t="s">
        <v>3297</v>
      </c>
      <c r="BN233" t="s">
        <v>74</v>
      </c>
      <c r="BO233" t="s">
        <v>3298</v>
      </c>
      <c r="BP233" t="s">
        <v>74</v>
      </c>
      <c r="BQ233" t="s">
        <v>74</v>
      </c>
      <c r="BR233" t="s">
        <v>98</v>
      </c>
      <c r="BS233" t="s">
        <v>3299</v>
      </c>
      <c r="BT233" t="str">
        <f>HYPERLINK("https%3A%2F%2Fwww.webofscience.com%2Fwos%2Fwoscc%2Ffull-record%2FWOS:000186704400002","View Full Record in Web of Science")</f>
        <v>View Full Record in Web of Science</v>
      </c>
    </row>
    <row r="234" spans="1:72" x14ac:dyDescent="0.15">
      <c r="A234" t="s">
        <v>552</v>
      </c>
      <c r="B234" t="s">
        <v>3300</v>
      </c>
      <c r="C234" t="s">
        <v>74</v>
      </c>
      <c r="D234" t="s">
        <v>74</v>
      </c>
      <c r="E234" t="s">
        <v>74</v>
      </c>
      <c r="F234" t="s">
        <v>3300</v>
      </c>
      <c r="G234" t="s">
        <v>74</v>
      </c>
      <c r="H234" t="s">
        <v>74</v>
      </c>
      <c r="I234" t="s">
        <v>3301</v>
      </c>
      <c r="J234" t="s">
        <v>3202</v>
      </c>
      <c r="K234" t="s">
        <v>74</v>
      </c>
      <c r="L234" t="s">
        <v>74</v>
      </c>
      <c r="M234" t="s">
        <v>78</v>
      </c>
      <c r="N234" t="s">
        <v>775</v>
      </c>
      <c r="O234" t="s">
        <v>74</v>
      </c>
      <c r="P234" t="s">
        <v>74</v>
      </c>
      <c r="Q234" t="s">
        <v>74</v>
      </c>
      <c r="R234" t="s">
        <v>74</v>
      </c>
      <c r="S234" t="s">
        <v>74</v>
      </c>
      <c r="T234" t="s">
        <v>3302</v>
      </c>
      <c r="U234" t="s">
        <v>3303</v>
      </c>
      <c r="V234" t="s">
        <v>3304</v>
      </c>
      <c r="W234" t="s">
        <v>238</v>
      </c>
      <c r="X234" t="s">
        <v>239</v>
      </c>
      <c r="Y234" t="s">
        <v>489</v>
      </c>
      <c r="Z234" t="s">
        <v>3305</v>
      </c>
      <c r="AA234" t="s">
        <v>74</v>
      </c>
      <c r="AB234" t="s">
        <v>74</v>
      </c>
      <c r="AC234" t="s">
        <v>74</v>
      </c>
      <c r="AD234" t="s">
        <v>74</v>
      </c>
      <c r="AE234" t="s">
        <v>74</v>
      </c>
      <c r="AF234" t="s">
        <v>74</v>
      </c>
      <c r="AG234">
        <v>42</v>
      </c>
      <c r="AH234">
        <v>38</v>
      </c>
      <c r="AI234">
        <v>39</v>
      </c>
      <c r="AJ234">
        <v>1</v>
      </c>
      <c r="AK234">
        <v>10</v>
      </c>
      <c r="AL234" t="s">
        <v>3209</v>
      </c>
      <c r="AM234" t="s">
        <v>3210</v>
      </c>
      <c r="AN234" t="s">
        <v>3211</v>
      </c>
      <c r="AO234" t="s">
        <v>3212</v>
      </c>
      <c r="AP234" t="s">
        <v>3213</v>
      </c>
      <c r="AQ234" t="s">
        <v>74</v>
      </c>
      <c r="AR234" t="s">
        <v>3214</v>
      </c>
      <c r="AS234" t="s">
        <v>3215</v>
      </c>
      <c r="AT234" t="s">
        <v>74</v>
      </c>
      <c r="AU234">
        <v>2003</v>
      </c>
      <c r="AV234">
        <v>260</v>
      </c>
      <c r="AW234" t="s">
        <v>74</v>
      </c>
      <c r="AX234" t="s">
        <v>74</v>
      </c>
      <c r="AY234" t="s">
        <v>74</v>
      </c>
      <c r="AZ234" t="s">
        <v>74</v>
      </c>
      <c r="BA234" t="s">
        <v>74</v>
      </c>
      <c r="BB234">
        <v>173</v>
      </c>
      <c r="BC234">
        <v>188</v>
      </c>
      <c r="BD234" t="s">
        <v>74</v>
      </c>
      <c r="BE234" t="s">
        <v>3306</v>
      </c>
      <c r="BF234" t="str">
        <f>HYPERLINK("http://dx.doi.org/10.3354/meps260173","http://dx.doi.org/10.3354/meps260173")</f>
        <v>http://dx.doi.org/10.3354/meps260173</v>
      </c>
      <c r="BG234" t="s">
        <v>74</v>
      </c>
      <c r="BH234" t="s">
        <v>74</v>
      </c>
      <c r="BI234">
        <v>16</v>
      </c>
      <c r="BJ234" t="s">
        <v>3217</v>
      </c>
      <c r="BK234" t="s">
        <v>569</v>
      </c>
      <c r="BL234" t="s">
        <v>3218</v>
      </c>
      <c r="BM234" t="s">
        <v>3307</v>
      </c>
      <c r="BN234" t="s">
        <v>74</v>
      </c>
      <c r="BO234" t="s">
        <v>3274</v>
      </c>
      <c r="BP234" t="s">
        <v>74</v>
      </c>
      <c r="BQ234" t="s">
        <v>74</v>
      </c>
      <c r="BR234" t="s">
        <v>98</v>
      </c>
      <c r="BS234" t="s">
        <v>3308</v>
      </c>
      <c r="BT234" t="str">
        <f>HYPERLINK("https%3A%2F%2Fwww.webofscience.com%2Fwos%2Fwoscc%2Ffull-record%2FWOS:000186420500015","View Full Record in Web of Science")</f>
        <v>View Full Record in Web of Science</v>
      </c>
    </row>
    <row r="235" spans="1:72" x14ac:dyDescent="0.15">
      <c r="A235" t="s">
        <v>552</v>
      </c>
      <c r="B235" t="s">
        <v>3309</v>
      </c>
      <c r="C235" t="s">
        <v>74</v>
      </c>
      <c r="D235" t="s">
        <v>74</v>
      </c>
      <c r="E235" t="s">
        <v>74</v>
      </c>
      <c r="F235" t="s">
        <v>3309</v>
      </c>
      <c r="G235" t="s">
        <v>74</v>
      </c>
      <c r="H235" t="s">
        <v>74</v>
      </c>
      <c r="I235" t="s">
        <v>3310</v>
      </c>
      <c r="J235" t="s">
        <v>3202</v>
      </c>
      <c r="K235" t="s">
        <v>74</v>
      </c>
      <c r="L235" t="s">
        <v>74</v>
      </c>
      <c r="M235" t="s">
        <v>78</v>
      </c>
      <c r="N235" t="s">
        <v>775</v>
      </c>
      <c r="O235" t="s">
        <v>74</v>
      </c>
      <c r="P235" t="s">
        <v>74</v>
      </c>
      <c r="Q235" t="s">
        <v>74</v>
      </c>
      <c r="R235" t="s">
        <v>74</v>
      </c>
      <c r="S235" t="s">
        <v>74</v>
      </c>
      <c r="T235" t="s">
        <v>3311</v>
      </c>
      <c r="U235" t="s">
        <v>3312</v>
      </c>
      <c r="V235" t="s">
        <v>3313</v>
      </c>
      <c r="W235" t="s">
        <v>583</v>
      </c>
      <c r="X235" t="s">
        <v>584</v>
      </c>
      <c r="Y235" t="s">
        <v>3314</v>
      </c>
      <c r="Z235" t="s">
        <v>3315</v>
      </c>
      <c r="AA235" t="s">
        <v>74</v>
      </c>
      <c r="AB235" t="s">
        <v>74</v>
      </c>
      <c r="AC235" t="s">
        <v>74</v>
      </c>
      <c r="AD235" t="s">
        <v>74</v>
      </c>
      <c r="AE235" t="s">
        <v>74</v>
      </c>
      <c r="AF235" t="s">
        <v>74</v>
      </c>
      <c r="AG235">
        <v>78</v>
      </c>
      <c r="AH235">
        <v>68</v>
      </c>
      <c r="AI235">
        <v>68</v>
      </c>
      <c r="AJ235">
        <v>1</v>
      </c>
      <c r="AK235">
        <v>13</v>
      </c>
      <c r="AL235" t="s">
        <v>3209</v>
      </c>
      <c r="AM235" t="s">
        <v>3210</v>
      </c>
      <c r="AN235" t="s">
        <v>3211</v>
      </c>
      <c r="AO235" t="s">
        <v>3212</v>
      </c>
      <c r="AP235" t="s">
        <v>74</v>
      </c>
      <c r="AQ235" t="s">
        <v>74</v>
      </c>
      <c r="AR235" t="s">
        <v>3214</v>
      </c>
      <c r="AS235" t="s">
        <v>3215</v>
      </c>
      <c r="AT235" t="s">
        <v>74</v>
      </c>
      <c r="AU235">
        <v>2003</v>
      </c>
      <c r="AV235">
        <v>260</v>
      </c>
      <c r="AW235" t="s">
        <v>74</v>
      </c>
      <c r="AX235" t="s">
        <v>74</v>
      </c>
      <c r="AY235" t="s">
        <v>74</v>
      </c>
      <c r="AZ235" t="s">
        <v>74</v>
      </c>
      <c r="BA235" t="s">
        <v>74</v>
      </c>
      <c r="BB235">
        <v>195</v>
      </c>
      <c r="BC235">
        <v>207</v>
      </c>
      <c r="BD235" t="s">
        <v>74</v>
      </c>
      <c r="BE235" t="s">
        <v>3316</v>
      </c>
      <c r="BF235" t="str">
        <f>HYPERLINK("http://dx.doi.org/10.3354/meps260195","http://dx.doi.org/10.3354/meps260195")</f>
        <v>http://dx.doi.org/10.3354/meps260195</v>
      </c>
      <c r="BG235" t="s">
        <v>74</v>
      </c>
      <c r="BH235" t="s">
        <v>74</v>
      </c>
      <c r="BI235">
        <v>13</v>
      </c>
      <c r="BJ235" t="s">
        <v>3217</v>
      </c>
      <c r="BK235" t="s">
        <v>569</v>
      </c>
      <c r="BL235" t="s">
        <v>3218</v>
      </c>
      <c r="BM235" t="s">
        <v>3307</v>
      </c>
      <c r="BN235" t="s">
        <v>74</v>
      </c>
      <c r="BO235" t="s">
        <v>3317</v>
      </c>
      <c r="BP235" t="s">
        <v>74</v>
      </c>
      <c r="BQ235" t="s">
        <v>74</v>
      </c>
      <c r="BR235" t="s">
        <v>98</v>
      </c>
      <c r="BS235" t="s">
        <v>3318</v>
      </c>
      <c r="BT235" t="str">
        <f>HYPERLINK("https%3A%2F%2Fwww.webofscience.com%2Fwos%2Fwoscc%2Ffull-record%2FWOS:000186420500017","View Full Record in Web of Science")</f>
        <v>View Full Record in Web of Science</v>
      </c>
    </row>
    <row r="236" spans="1:72" x14ac:dyDescent="0.15">
      <c r="A236" t="s">
        <v>552</v>
      </c>
      <c r="B236" t="s">
        <v>3319</v>
      </c>
      <c r="C236" t="s">
        <v>74</v>
      </c>
      <c r="D236" t="s">
        <v>74</v>
      </c>
      <c r="E236" t="s">
        <v>74</v>
      </c>
      <c r="F236" t="s">
        <v>3319</v>
      </c>
      <c r="G236" t="s">
        <v>74</v>
      </c>
      <c r="H236" t="s">
        <v>74</v>
      </c>
      <c r="I236" t="s">
        <v>3320</v>
      </c>
      <c r="J236" t="s">
        <v>3202</v>
      </c>
      <c r="K236" t="s">
        <v>74</v>
      </c>
      <c r="L236" t="s">
        <v>74</v>
      </c>
      <c r="M236" t="s">
        <v>78</v>
      </c>
      <c r="N236" t="s">
        <v>775</v>
      </c>
      <c r="O236" t="s">
        <v>74</v>
      </c>
      <c r="P236" t="s">
        <v>74</v>
      </c>
      <c r="Q236" t="s">
        <v>74</v>
      </c>
      <c r="R236" t="s">
        <v>74</v>
      </c>
      <c r="S236" t="s">
        <v>74</v>
      </c>
      <c r="T236" t="s">
        <v>3321</v>
      </c>
      <c r="U236" t="s">
        <v>3322</v>
      </c>
      <c r="V236" t="s">
        <v>3323</v>
      </c>
      <c r="W236" t="s">
        <v>3324</v>
      </c>
      <c r="X236" t="s">
        <v>3325</v>
      </c>
      <c r="Y236" t="s">
        <v>3326</v>
      </c>
      <c r="Z236" t="s">
        <v>3327</v>
      </c>
      <c r="AA236" t="s">
        <v>74</v>
      </c>
      <c r="AB236" t="s">
        <v>74</v>
      </c>
      <c r="AC236" t="s">
        <v>74</v>
      </c>
      <c r="AD236" t="s">
        <v>74</v>
      </c>
      <c r="AE236" t="s">
        <v>74</v>
      </c>
      <c r="AF236" t="s">
        <v>74</v>
      </c>
      <c r="AG236">
        <v>54</v>
      </c>
      <c r="AH236">
        <v>29</v>
      </c>
      <c r="AI236">
        <v>37</v>
      </c>
      <c r="AJ236">
        <v>0</v>
      </c>
      <c r="AK236">
        <v>14</v>
      </c>
      <c r="AL236" t="s">
        <v>3209</v>
      </c>
      <c r="AM236" t="s">
        <v>3210</v>
      </c>
      <c r="AN236" t="s">
        <v>3211</v>
      </c>
      <c r="AO236" t="s">
        <v>3212</v>
      </c>
      <c r="AP236" t="s">
        <v>74</v>
      </c>
      <c r="AQ236" t="s">
        <v>74</v>
      </c>
      <c r="AR236" t="s">
        <v>3214</v>
      </c>
      <c r="AS236" t="s">
        <v>3215</v>
      </c>
      <c r="AT236" t="s">
        <v>74</v>
      </c>
      <c r="AU236">
        <v>2003</v>
      </c>
      <c r="AV236">
        <v>259</v>
      </c>
      <c r="AW236" t="s">
        <v>74</v>
      </c>
      <c r="AX236" t="s">
        <v>74</v>
      </c>
      <c r="AY236" t="s">
        <v>74</v>
      </c>
      <c r="AZ236" t="s">
        <v>74</v>
      </c>
      <c r="BA236" t="s">
        <v>74</v>
      </c>
      <c r="BB236">
        <v>1</v>
      </c>
      <c r="BC236">
        <v>15</v>
      </c>
      <c r="BD236" t="s">
        <v>74</v>
      </c>
      <c r="BE236" t="s">
        <v>3328</v>
      </c>
      <c r="BF236" t="str">
        <f>HYPERLINK("http://dx.doi.org/10.3354/meps259001","http://dx.doi.org/10.3354/meps259001")</f>
        <v>http://dx.doi.org/10.3354/meps259001</v>
      </c>
      <c r="BG236" t="s">
        <v>74</v>
      </c>
      <c r="BH236" t="s">
        <v>74</v>
      </c>
      <c r="BI236">
        <v>15</v>
      </c>
      <c r="BJ236" t="s">
        <v>3217</v>
      </c>
      <c r="BK236" t="s">
        <v>569</v>
      </c>
      <c r="BL236" t="s">
        <v>3218</v>
      </c>
      <c r="BM236" t="s">
        <v>3329</v>
      </c>
      <c r="BN236" t="s">
        <v>74</v>
      </c>
      <c r="BO236" t="s">
        <v>572</v>
      </c>
      <c r="BP236" t="s">
        <v>74</v>
      </c>
      <c r="BQ236" t="s">
        <v>74</v>
      </c>
      <c r="BR236" t="s">
        <v>98</v>
      </c>
      <c r="BS236" t="s">
        <v>3330</v>
      </c>
      <c r="BT236" t="str">
        <f>HYPERLINK("https%3A%2F%2Fwww.webofscience.com%2Fwos%2Fwoscc%2Ffull-record%2FWOS:000186029000001","View Full Record in Web of Science")</f>
        <v>View Full Record in Web of Science</v>
      </c>
    </row>
    <row r="237" spans="1:72" x14ac:dyDescent="0.15">
      <c r="A237" t="s">
        <v>552</v>
      </c>
      <c r="B237" t="s">
        <v>3331</v>
      </c>
      <c r="C237" t="s">
        <v>74</v>
      </c>
      <c r="D237" t="s">
        <v>74</v>
      </c>
      <c r="E237" t="s">
        <v>74</v>
      </c>
      <c r="F237" t="s">
        <v>3331</v>
      </c>
      <c r="G237" t="s">
        <v>74</v>
      </c>
      <c r="H237" t="s">
        <v>74</v>
      </c>
      <c r="I237" t="s">
        <v>3332</v>
      </c>
      <c r="J237" t="s">
        <v>3202</v>
      </c>
      <c r="K237" t="s">
        <v>74</v>
      </c>
      <c r="L237" t="s">
        <v>74</v>
      </c>
      <c r="M237" t="s">
        <v>78</v>
      </c>
      <c r="N237" t="s">
        <v>775</v>
      </c>
      <c r="O237" t="s">
        <v>74</v>
      </c>
      <c r="P237" t="s">
        <v>74</v>
      </c>
      <c r="Q237" t="s">
        <v>74</v>
      </c>
      <c r="R237" t="s">
        <v>74</v>
      </c>
      <c r="S237" t="s">
        <v>74</v>
      </c>
      <c r="T237" t="s">
        <v>3333</v>
      </c>
      <c r="U237" t="s">
        <v>3334</v>
      </c>
      <c r="V237" t="s">
        <v>3335</v>
      </c>
      <c r="W237" t="s">
        <v>3336</v>
      </c>
      <c r="X237" t="s">
        <v>3337</v>
      </c>
      <c r="Y237" t="s">
        <v>3338</v>
      </c>
      <c r="Z237" t="s">
        <v>3283</v>
      </c>
      <c r="AA237" t="s">
        <v>74</v>
      </c>
      <c r="AB237" t="s">
        <v>74</v>
      </c>
      <c r="AC237" t="s">
        <v>74</v>
      </c>
      <c r="AD237" t="s">
        <v>74</v>
      </c>
      <c r="AE237" t="s">
        <v>74</v>
      </c>
      <c r="AF237" t="s">
        <v>74</v>
      </c>
      <c r="AG237">
        <v>91</v>
      </c>
      <c r="AH237">
        <v>35</v>
      </c>
      <c r="AI237">
        <v>36</v>
      </c>
      <c r="AJ237">
        <v>1</v>
      </c>
      <c r="AK237">
        <v>12</v>
      </c>
      <c r="AL237" t="s">
        <v>3209</v>
      </c>
      <c r="AM237" t="s">
        <v>3210</v>
      </c>
      <c r="AN237" t="s">
        <v>3211</v>
      </c>
      <c r="AO237" t="s">
        <v>3212</v>
      </c>
      <c r="AP237" t="s">
        <v>74</v>
      </c>
      <c r="AQ237" t="s">
        <v>74</v>
      </c>
      <c r="AR237" t="s">
        <v>3214</v>
      </c>
      <c r="AS237" t="s">
        <v>3215</v>
      </c>
      <c r="AT237" t="s">
        <v>74</v>
      </c>
      <c r="AU237">
        <v>2003</v>
      </c>
      <c r="AV237">
        <v>259</v>
      </c>
      <c r="AW237" t="s">
        <v>74</v>
      </c>
      <c r="AX237" t="s">
        <v>74</v>
      </c>
      <c r="AY237" t="s">
        <v>74</v>
      </c>
      <c r="AZ237" t="s">
        <v>74</v>
      </c>
      <c r="BA237" t="s">
        <v>74</v>
      </c>
      <c r="BB237">
        <v>17</v>
      </c>
      <c r="BC237">
        <v>28</v>
      </c>
      <c r="BD237" t="s">
        <v>74</v>
      </c>
      <c r="BE237" t="s">
        <v>3339</v>
      </c>
      <c r="BF237" t="str">
        <f>HYPERLINK("http://dx.doi.org/10.3354/meps259017","http://dx.doi.org/10.3354/meps259017")</f>
        <v>http://dx.doi.org/10.3354/meps259017</v>
      </c>
      <c r="BG237" t="s">
        <v>74</v>
      </c>
      <c r="BH237" t="s">
        <v>74</v>
      </c>
      <c r="BI237">
        <v>12</v>
      </c>
      <c r="BJ237" t="s">
        <v>3217</v>
      </c>
      <c r="BK237" t="s">
        <v>569</v>
      </c>
      <c r="BL237" t="s">
        <v>3218</v>
      </c>
      <c r="BM237" t="s">
        <v>3329</v>
      </c>
      <c r="BN237" t="s">
        <v>74</v>
      </c>
      <c r="BO237" t="s">
        <v>3260</v>
      </c>
      <c r="BP237" t="s">
        <v>74</v>
      </c>
      <c r="BQ237" t="s">
        <v>74</v>
      </c>
      <c r="BR237" t="s">
        <v>98</v>
      </c>
      <c r="BS237" t="s">
        <v>3340</v>
      </c>
      <c r="BT237" t="str">
        <f>HYPERLINK("https%3A%2F%2Fwww.webofscience.com%2Fwos%2Fwoscc%2Ffull-record%2FWOS:000186029000002","View Full Record in Web of Science")</f>
        <v>View Full Record in Web of Science</v>
      </c>
    </row>
    <row r="238" spans="1:72" x14ac:dyDescent="0.15">
      <c r="A238" t="s">
        <v>552</v>
      </c>
      <c r="B238" t="s">
        <v>3341</v>
      </c>
      <c r="C238" t="s">
        <v>74</v>
      </c>
      <c r="D238" t="s">
        <v>74</v>
      </c>
      <c r="E238" t="s">
        <v>74</v>
      </c>
      <c r="F238" t="s">
        <v>3341</v>
      </c>
      <c r="G238" t="s">
        <v>74</v>
      </c>
      <c r="H238" t="s">
        <v>74</v>
      </c>
      <c r="I238" t="s">
        <v>3342</v>
      </c>
      <c r="J238" t="s">
        <v>3202</v>
      </c>
      <c r="K238" t="s">
        <v>74</v>
      </c>
      <c r="L238" t="s">
        <v>74</v>
      </c>
      <c r="M238" t="s">
        <v>78</v>
      </c>
      <c r="N238" t="s">
        <v>775</v>
      </c>
      <c r="O238" t="s">
        <v>74</v>
      </c>
      <c r="P238" t="s">
        <v>74</v>
      </c>
      <c r="Q238" t="s">
        <v>74</v>
      </c>
      <c r="R238" t="s">
        <v>74</v>
      </c>
      <c r="S238" t="s">
        <v>74</v>
      </c>
      <c r="T238" t="s">
        <v>3343</v>
      </c>
      <c r="U238" t="s">
        <v>3344</v>
      </c>
      <c r="V238" t="s">
        <v>3345</v>
      </c>
      <c r="W238" t="s">
        <v>3346</v>
      </c>
      <c r="X238" t="s">
        <v>481</v>
      </c>
      <c r="Y238" t="s">
        <v>3347</v>
      </c>
      <c r="Z238" t="s">
        <v>3348</v>
      </c>
      <c r="AA238" t="s">
        <v>74</v>
      </c>
      <c r="AB238" t="s">
        <v>74</v>
      </c>
      <c r="AC238" t="s">
        <v>74</v>
      </c>
      <c r="AD238" t="s">
        <v>74</v>
      </c>
      <c r="AE238" t="s">
        <v>74</v>
      </c>
      <c r="AF238" t="s">
        <v>74</v>
      </c>
      <c r="AG238">
        <v>82</v>
      </c>
      <c r="AH238">
        <v>122</v>
      </c>
      <c r="AI238">
        <v>143</v>
      </c>
      <c r="AJ238">
        <v>1</v>
      </c>
      <c r="AK238">
        <v>24</v>
      </c>
      <c r="AL238" t="s">
        <v>3209</v>
      </c>
      <c r="AM238" t="s">
        <v>3210</v>
      </c>
      <c r="AN238" t="s">
        <v>3211</v>
      </c>
      <c r="AO238" t="s">
        <v>3212</v>
      </c>
      <c r="AP238" t="s">
        <v>3213</v>
      </c>
      <c r="AQ238" t="s">
        <v>74</v>
      </c>
      <c r="AR238" t="s">
        <v>3214</v>
      </c>
      <c r="AS238" t="s">
        <v>3215</v>
      </c>
      <c r="AT238" t="s">
        <v>74</v>
      </c>
      <c r="AU238">
        <v>2003</v>
      </c>
      <c r="AV238">
        <v>259</v>
      </c>
      <c r="AW238" t="s">
        <v>74</v>
      </c>
      <c r="AX238" t="s">
        <v>74</v>
      </c>
      <c r="AY238" t="s">
        <v>74</v>
      </c>
      <c r="AZ238" t="s">
        <v>74</v>
      </c>
      <c r="BA238" t="s">
        <v>74</v>
      </c>
      <c r="BB238">
        <v>185</v>
      </c>
      <c r="BC238">
        <v>200</v>
      </c>
      <c r="BD238" t="s">
        <v>74</v>
      </c>
      <c r="BE238" t="s">
        <v>3349</v>
      </c>
      <c r="BF238" t="str">
        <f>HYPERLINK("http://dx.doi.org/10.3354/meps259185","http://dx.doi.org/10.3354/meps259185")</f>
        <v>http://dx.doi.org/10.3354/meps259185</v>
      </c>
      <c r="BG238" t="s">
        <v>74</v>
      </c>
      <c r="BH238" t="s">
        <v>74</v>
      </c>
      <c r="BI238">
        <v>16</v>
      </c>
      <c r="BJ238" t="s">
        <v>3217</v>
      </c>
      <c r="BK238" t="s">
        <v>569</v>
      </c>
      <c r="BL238" t="s">
        <v>3218</v>
      </c>
      <c r="BM238" t="s">
        <v>3329</v>
      </c>
      <c r="BN238" t="s">
        <v>74</v>
      </c>
      <c r="BO238" t="s">
        <v>572</v>
      </c>
      <c r="BP238" t="s">
        <v>74</v>
      </c>
      <c r="BQ238" t="s">
        <v>74</v>
      </c>
      <c r="BR238" t="s">
        <v>98</v>
      </c>
      <c r="BS238" t="s">
        <v>3350</v>
      </c>
      <c r="BT238" t="str">
        <f>HYPERLINK("https%3A%2F%2Fwww.webofscience.com%2Fwos%2Fwoscc%2Ffull-record%2FWOS:000186029000016","View Full Record in Web of Science")</f>
        <v>View Full Record in Web of Science</v>
      </c>
    </row>
    <row r="239" spans="1:72" x14ac:dyDescent="0.15">
      <c r="A239" t="s">
        <v>552</v>
      </c>
      <c r="B239" t="s">
        <v>3351</v>
      </c>
      <c r="C239" t="s">
        <v>74</v>
      </c>
      <c r="D239" t="s">
        <v>74</v>
      </c>
      <c r="E239" t="s">
        <v>74</v>
      </c>
      <c r="F239" t="s">
        <v>3351</v>
      </c>
      <c r="G239" t="s">
        <v>74</v>
      </c>
      <c r="H239" t="s">
        <v>74</v>
      </c>
      <c r="I239" t="s">
        <v>3352</v>
      </c>
      <c r="J239" t="s">
        <v>3202</v>
      </c>
      <c r="K239" t="s">
        <v>74</v>
      </c>
      <c r="L239" t="s">
        <v>74</v>
      </c>
      <c r="M239" t="s">
        <v>78</v>
      </c>
      <c r="N239" t="s">
        <v>775</v>
      </c>
      <c r="O239" t="s">
        <v>74</v>
      </c>
      <c r="P239" t="s">
        <v>74</v>
      </c>
      <c r="Q239" t="s">
        <v>74</v>
      </c>
      <c r="R239" t="s">
        <v>74</v>
      </c>
      <c r="S239" t="s">
        <v>74</v>
      </c>
      <c r="T239" t="s">
        <v>3353</v>
      </c>
      <c r="U239" t="s">
        <v>3354</v>
      </c>
      <c r="V239" t="s">
        <v>3355</v>
      </c>
      <c r="W239" t="s">
        <v>3356</v>
      </c>
      <c r="X239" t="s">
        <v>3357</v>
      </c>
      <c r="Y239" t="s">
        <v>3358</v>
      </c>
      <c r="Z239" t="s">
        <v>3359</v>
      </c>
      <c r="AA239" t="s">
        <v>3360</v>
      </c>
      <c r="AB239" t="s">
        <v>74</v>
      </c>
      <c r="AC239" t="s">
        <v>74</v>
      </c>
      <c r="AD239" t="s">
        <v>74</v>
      </c>
      <c r="AE239" t="s">
        <v>74</v>
      </c>
      <c r="AF239" t="s">
        <v>74</v>
      </c>
      <c r="AG239">
        <v>62</v>
      </c>
      <c r="AH239">
        <v>52</v>
      </c>
      <c r="AI239">
        <v>57</v>
      </c>
      <c r="AJ239">
        <v>0</v>
      </c>
      <c r="AK239">
        <v>13</v>
      </c>
      <c r="AL239" t="s">
        <v>3209</v>
      </c>
      <c r="AM239" t="s">
        <v>3210</v>
      </c>
      <c r="AN239" t="s">
        <v>3211</v>
      </c>
      <c r="AO239" t="s">
        <v>3212</v>
      </c>
      <c r="AP239" t="s">
        <v>3213</v>
      </c>
      <c r="AQ239" t="s">
        <v>74</v>
      </c>
      <c r="AR239" t="s">
        <v>3214</v>
      </c>
      <c r="AS239" t="s">
        <v>3215</v>
      </c>
      <c r="AT239" t="s">
        <v>74</v>
      </c>
      <c r="AU239">
        <v>2003</v>
      </c>
      <c r="AV239">
        <v>257</v>
      </c>
      <c r="AW239" t="s">
        <v>74</v>
      </c>
      <c r="AX239" t="s">
        <v>74</v>
      </c>
      <c r="AY239" t="s">
        <v>74</v>
      </c>
      <c r="AZ239" t="s">
        <v>74</v>
      </c>
      <c r="BA239" t="s">
        <v>74</v>
      </c>
      <c r="BB239">
        <v>99</v>
      </c>
      <c r="BC239">
        <v>110</v>
      </c>
      <c r="BD239" t="s">
        <v>74</v>
      </c>
      <c r="BE239" t="s">
        <v>3361</v>
      </c>
      <c r="BF239" t="str">
        <f>HYPERLINK("http://dx.doi.org/10.3354/meps257099","http://dx.doi.org/10.3354/meps257099")</f>
        <v>http://dx.doi.org/10.3354/meps257099</v>
      </c>
      <c r="BG239" t="s">
        <v>74</v>
      </c>
      <c r="BH239" t="s">
        <v>74</v>
      </c>
      <c r="BI239">
        <v>12</v>
      </c>
      <c r="BJ239" t="s">
        <v>3217</v>
      </c>
      <c r="BK239" t="s">
        <v>569</v>
      </c>
      <c r="BL239" t="s">
        <v>3218</v>
      </c>
      <c r="BM239" t="s">
        <v>3362</v>
      </c>
      <c r="BN239" t="s">
        <v>74</v>
      </c>
      <c r="BO239" t="s">
        <v>572</v>
      </c>
      <c r="BP239" t="s">
        <v>74</v>
      </c>
      <c r="BQ239" t="s">
        <v>74</v>
      </c>
      <c r="BR239" t="s">
        <v>98</v>
      </c>
      <c r="BS239" t="s">
        <v>3363</v>
      </c>
      <c r="BT239" t="str">
        <f>HYPERLINK("https%3A%2F%2Fwww.webofscience.com%2Fwos%2Fwoscc%2Ffull-record%2FWOS:000185065500010","View Full Record in Web of Science")</f>
        <v>View Full Record in Web of Science</v>
      </c>
    </row>
    <row r="240" spans="1:72" x14ac:dyDescent="0.15">
      <c r="A240" t="s">
        <v>552</v>
      </c>
      <c r="B240" t="s">
        <v>3364</v>
      </c>
      <c r="C240" t="s">
        <v>74</v>
      </c>
      <c r="D240" t="s">
        <v>74</v>
      </c>
      <c r="E240" t="s">
        <v>74</v>
      </c>
      <c r="F240" t="s">
        <v>3364</v>
      </c>
      <c r="G240" t="s">
        <v>74</v>
      </c>
      <c r="H240" t="s">
        <v>74</v>
      </c>
      <c r="I240" t="s">
        <v>3365</v>
      </c>
      <c r="J240" t="s">
        <v>3202</v>
      </c>
      <c r="K240" t="s">
        <v>74</v>
      </c>
      <c r="L240" t="s">
        <v>74</v>
      </c>
      <c r="M240" t="s">
        <v>78</v>
      </c>
      <c r="N240" t="s">
        <v>775</v>
      </c>
      <c r="O240" t="s">
        <v>74</v>
      </c>
      <c r="P240" t="s">
        <v>74</v>
      </c>
      <c r="Q240" t="s">
        <v>74</v>
      </c>
      <c r="R240" t="s">
        <v>74</v>
      </c>
      <c r="S240" t="s">
        <v>74</v>
      </c>
      <c r="T240" t="s">
        <v>3366</v>
      </c>
      <c r="U240" t="s">
        <v>3367</v>
      </c>
      <c r="V240" t="s">
        <v>3368</v>
      </c>
      <c r="W240" t="s">
        <v>3369</v>
      </c>
      <c r="X240" t="s">
        <v>3370</v>
      </c>
      <c r="Y240" t="s">
        <v>3371</v>
      </c>
      <c r="Z240" t="s">
        <v>3372</v>
      </c>
      <c r="AA240" t="s">
        <v>3373</v>
      </c>
      <c r="AB240" t="s">
        <v>3374</v>
      </c>
      <c r="AC240" t="s">
        <v>74</v>
      </c>
      <c r="AD240" t="s">
        <v>74</v>
      </c>
      <c r="AE240" t="s">
        <v>74</v>
      </c>
      <c r="AF240" t="s">
        <v>74</v>
      </c>
      <c r="AG240">
        <v>48</v>
      </c>
      <c r="AH240">
        <v>49</v>
      </c>
      <c r="AI240">
        <v>53</v>
      </c>
      <c r="AJ240">
        <v>0</v>
      </c>
      <c r="AK240">
        <v>16</v>
      </c>
      <c r="AL240" t="s">
        <v>3209</v>
      </c>
      <c r="AM240" t="s">
        <v>3210</v>
      </c>
      <c r="AN240" t="s">
        <v>3211</v>
      </c>
      <c r="AO240" t="s">
        <v>3212</v>
      </c>
      <c r="AP240" t="s">
        <v>74</v>
      </c>
      <c r="AQ240" t="s">
        <v>74</v>
      </c>
      <c r="AR240" t="s">
        <v>3214</v>
      </c>
      <c r="AS240" t="s">
        <v>3215</v>
      </c>
      <c r="AT240" t="s">
        <v>74</v>
      </c>
      <c r="AU240">
        <v>2003</v>
      </c>
      <c r="AV240">
        <v>257</v>
      </c>
      <c r="AW240" t="s">
        <v>74</v>
      </c>
      <c r="AX240" t="s">
        <v>74</v>
      </c>
      <c r="AY240" t="s">
        <v>74</v>
      </c>
      <c r="AZ240" t="s">
        <v>74</v>
      </c>
      <c r="BA240" t="s">
        <v>74</v>
      </c>
      <c r="BB240">
        <v>167</v>
      </c>
      <c r="BC240">
        <v>177</v>
      </c>
      <c r="BD240" t="s">
        <v>74</v>
      </c>
      <c r="BE240" t="s">
        <v>3375</v>
      </c>
      <c r="BF240" t="str">
        <f>HYPERLINK("http://dx.doi.org/10.3354/meps257167","http://dx.doi.org/10.3354/meps257167")</f>
        <v>http://dx.doi.org/10.3354/meps257167</v>
      </c>
      <c r="BG240" t="s">
        <v>74</v>
      </c>
      <c r="BH240" t="s">
        <v>74</v>
      </c>
      <c r="BI240">
        <v>11</v>
      </c>
      <c r="BJ240" t="s">
        <v>3217</v>
      </c>
      <c r="BK240" t="s">
        <v>569</v>
      </c>
      <c r="BL240" t="s">
        <v>3218</v>
      </c>
      <c r="BM240" t="s">
        <v>3362</v>
      </c>
      <c r="BN240" t="s">
        <v>74</v>
      </c>
      <c r="BO240" t="s">
        <v>3220</v>
      </c>
      <c r="BP240" t="s">
        <v>74</v>
      </c>
      <c r="BQ240" t="s">
        <v>74</v>
      </c>
      <c r="BR240" t="s">
        <v>98</v>
      </c>
      <c r="BS240" t="s">
        <v>3376</v>
      </c>
      <c r="BT240" t="str">
        <f>HYPERLINK("https%3A%2F%2Fwww.webofscience.com%2Fwos%2Fwoscc%2Ffull-record%2FWOS:000185065500015","View Full Record in Web of Science")</f>
        <v>View Full Record in Web of Science</v>
      </c>
    </row>
    <row r="241" spans="1:72" x14ac:dyDescent="0.15">
      <c r="A241" t="s">
        <v>552</v>
      </c>
      <c r="B241" t="s">
        <v>3377</v>
      </c>
      <c r="C241" t="s">
        <v>74</v>
      </c>
      <c r="D241" t="s">
        <v>74</v>
      </c>
      <c r="E241" t="s">
        <v>74</v>
      </c>
      <c r="F241" t="s">
        <v>3377</v>
      </c>
      <c r="G241" t="s">
        <v>74</v>
      </c>
      <c r="H241" t="s">
        <v>74</v>
      </c>
      <c r="I241" t="s">
        <v>3378</v>
      </c>
      <c r="J241" t="s">
        <v>3202</v>
      </c>
      <c r="K241" t="s">
        <v>74</v>
      </c>
      <c r="L241" t="s">
        <v>74</v>
      </c>
      <c r="M241" t="s">
        <v>78</v>
      </c>
      <c r="N241" t="s">
        <v>775</v>
      </c>
      <c r="O241" t="s">
        <v>74</v>
      </c>
      <c r="P241" t="s">
        <v>74</v>
      </c>
      <c r="Q241" t="s">
        <v>74</v>
      </c>
      <c r="R241" t="s">
        <v>74</v>
      </c>
      <c r="S241" t="s">
        <v>74</v>
      </c>
      <c r="T241" t="s">
        <v>3379</v>
      </c>
      <c r="U241" t="s">
        <v>3380</v>
      </c>
      <c r="V241" t="s">
        <v>3381</v>
      </c>
      <c r="W241" t="s">
        <v>3382</v>
      </c>
      <c r="X241" t="s">
        <v>3383</v>
      </c>
      <c r="Y241" t="s">
        <v>3384</v>
      </c>
      <c r="Z241" t="s">
        <v>3385</v>
      </c>
      <c r="AA241" t="s">
        <v>74</v>
      </c>
      <c r="AB241" t="s">
        <v>74</v>
      </c>
      <c r="AC241" t="s">
        <v>74</v>
      </c>
      <c r="AD241" t="s">
        <v>74</v>
      </c>
      <c r="AE241" t="s">
        <v>74</v>
      </c>
      <c r="AF241" t="s">
        <v>74</v>
      </c>
      <c r="AG241">
        <v>52</v>
      </c>
      <c r="AH241">
        <v>27</v>
      </c>
      <c r="AI241">
        <v>29</v>
      </c>
      <c r="AJ241">
        <v>0</v>
      </c>
      <c r="AK241">
        <v>8</v>
      </c>
      <c r="AL241" t="s">
        <v>3209</v>
      </c>
      <c r="AM241" t="s">
        <v>3210</v>
      </c>
      <c r="AN241" t="s">
        <v>3211</v>
      </c>
      <c r="AO241" t="s">
        <v>3212</v>
      </c>
      <c r="AP241" t="s">
        <v>74</v>
      </c>
      <c r="AQ241" t="s">
        <v>74</v>
      </c>
      <c r="AR241" t="s">
        <v>3214</v>
      </c>
      <c r="AS241" t="s">
        <v>3215</v>
      </c>
      <c r="AT241" t="s">
        <v>74</v>
      </c>
      <c r="AU241">
        <v>2003</v>
      </c>
      <c r="AV241">
        <v>256</v>
      </c>
      <c r="AW241" t="s">
        <v>74</v>
      </c>
      <c r="AX241" t="s">
        <v>74</v>
      </c>
      <c r="AY241" t="s">
        <v>74</v>
      </c>
      <c r="AZ241" t="s">
        <v>74</v>
      </c>
      <c r="BA241" t="s">
        <v>74</v>
      </c>
      <c r="BB241">
        <v>75</v>
      </c>
      <c r="BC241">
        <v>85</v>
      </c>
      <c r="BD241" t="s">
        <v>74</v>
      </c>
      <c r="BE241" t="s">
        <v>3386</v>
      </c>
      <c r="BF241" t="str">
        <f>HYPERLINK("http://dx.doi.org/10.3354/meps256075","http://dx.doi.org/10.3354/meps256075")</f>
        <v>http://dx.doi.org/10.3354/meps256075</v>
      </c>
      <c r="BG241" t="s">
        <v>74</v>
      </c>
      <c r="BH241" t="s">
        <v>74</v>
      </c>
      <c r="BI241">
        <v>11</v>
      </c>
      <c r="BJ241" t="s">
        <v>3217</v>
      </c>
      <c r="BK241" t="s">
        <v>569</v>
      </c>
      <c r="BL241" t="s">
        <v>3218</v>
      </c>
      <c r="BM241" t="s">
        <v>3387</v>
      </c>
      <c r="BN241" t="s">
        <v>74</v>
      </c>
      <c r="BO241" t="s">
        <v>572</v>
      </c>
      <c r="BP241" t="s">
        <v>74</v>
      </c>
      <c r="BQ241" t="s">
        <v>74</v>
      </c>
      <c r="BR241" t="s">
        <v>98</v>
      </c>
      <c r="BS241" t="s">
        <v>3388</v>
      </c>
      <c r="BT241" t="str">
        <f>HYPERLINK("https%3A%2F%2Fwww.webofscience.com%2Fwos%2Fwoscc%2Ffull-record%2FWOS:000184808900007","View Full Record in Web of Science")</f>
        <v>View Full Record in Web of Science</v>
      </c>
    </row>
    <row r="242" spans="1:72" x14ac:dyDescent="0.15">
      <c r="A242" t="s">
        <v>552</v>
      </c>
      <c r="B242" t="s">
        <v>3389</v>
      </c>
      <c r="C242" t="s">
        <v>74</v>
      </c>
      <c r="D242" t="s">
        <v>74</v>
      </c>
      <c r="E242" t="s">
        <v>74</v>
      </c>
      <c r="F242" t="s">
        <v>3389</v>
      </c>
      <c r="G242" t="s">
        <v>74</v>
      </c>
      <c r="H242" t="s">
        <v>74</v>
      </c>
      <c r="I242" t="s">
        <v>3390</v>
      </c>
      <c r="J242" t="s">
        <v>3202</v>
      </c>
      <c r="K242" t="s">
        <v>74</v>
      </c>
      <c r="L242" t="s">
        <v>74</v>
      </c>
      <c r="M242" t="s">
        <v>78</v>
      </c>
      <c r="N242" t="s">
        <v>775</v>
      </c>
      <c r="O242" t="s">
        <v>74</v>
      </c>
      <c r="P242" t="s">
        <v>74</v>
      </c>
      <c r="Q242" t="s">
        <v>74</v>
      </c>
      <c r="R242" t="s">
        <v>74</v>
      </c>
      <c r="S242" t="s">
        <v>74</v>
      </c>
      <c r="T242" t="s">
        <v>3391</v>
      </c>
      <c r="U242" t="s">
        <v>3392</v>
      </c>
      <c r="V242" t="s">
        <v>3393</v>
      </c>
      <c r="W242" t="s">
        <v>3394</v>
      </c>
      <c r="X242" t="s">
        <v>3395</v>
      </c>
      <c r="Y242" t="s">
        <v>3396</v>
      </c>
      <c r="Z242" t="s">
        <v>3397</v>
      </c>
      <c r="AA242" t="s">
        <v>3398</v>
      </c>
      <c r="AB242" t="s">
        <v>74</v>
      </c>
      <c r="AC242" t="s">
        <v>74</v>
      </c>
      <c r="AD242" t="s">
        <v>74</v>
      </c>
      <c r="AE242" t="s">
        <v>74</v>
      </c>
      <c r="AF242" t="s">
        <v>74</v>
      </c>
      <c r="AG242">
        <v>50</v>
      </c>
      <c r="AH242">
        <v>14</v>
      </c>
      <c r="AI242">
        <v>17</v>
      </c>
      <c r="AJ242">
        <v>0</v>
      </c>
      <c r="AK242">
        <v>14</v>
      </c>
      <c r="AL242" t="s">
        <v>3209</v>
      </c>
      <c r="AM242" t="s">
        <v>3210</v>
      </c>
      <c r="AN242" t="s">
        <v>3211</v>
      </c>
      <c r="AO242" t="s">
        <v>3212</v>
      </c>
      <c r="AP242" t="s">
        <v>3213</v>
      </c>
      <c r="AQ242" t="s">
        <v>74</v>
      </c>
      <c r="AR242" t="s">
        <v>3214</v>
      </c>
      <c r="AS242" t="s">
        <v>3215</v>
      </c>
      <c r="AT242" t="s">
        <v>74</v>
      </c>
      <c r="AU242">
        <v>2003</v>
      </c>
      <c r="AV242">
        <v>256</v>
      </c>
      <c r="AW242" t="s">
        <v>74</v>
      </c>
      <c r="AX242" t="s">
        <v>74</v>
      </c>
      <c r="AY242" t="s">
        <v>74</v>
      </c>
      <c r="AZ242" t="s">
        <v>74</v>
      </c>
      <c r="BA242" t="s">
        <v>74</v>
      </c>
      <c r="BB242">
        <v>135</v>
      </c>
      <c r="BC242">
        <v>149</v>
      </c>
      <c r="BD242" t="s">
        <v>74</v>
      </c>
      <c r="BE242" t="s">
        <v>3399</v>
      </c>
      <c r="BF242" t="str">
        <f>HYPERLINK("http://dx.doi.org/10.3354/meps256135","http://dx.doi.org/10.3354/meps256135")</f>
        <v>http://dx.doi.org/10.3354/meps256135</v>
      </c>
      <c r="BG242" t="s">
        <v>74</v>
      </c>
      <c r="BH242" t="s">
        <v>74</v>
      </c>
      <c r="BI242">
        <v>15</v>
      </c>
      <c r="BJ242" t="s">
        <v>3217</v>
      </c>
      <c r="BK242" t="s">
        <v>569</v>
      </c>
      <c r="BL242" t="s">
        <v>3218</v>
      </c>
      <c r="BM242" t="s">
        <v>3387</v>
      </c>
      <c r="BN242" t="s">
        <v>74</v>
      </c>
      <c r="BO242" t="s">
        <v>572</v>
      </c>
      <c r="BP242" t="s">
        <v>74</v>
      </c>
      <c r="BQ242" t="s">
        <v>74</v>
      </c>
      <c r="BR242" t="s">
        <v>98</v>
      </c>
      <c r="BS242" t="s">
        <v>3400</v>
      </c>
      <c r="BT242" t="str">
        <f>HYPERLINK("https%3A%2F%2Fwww.webofscience.com%2Fwos%2Fwoscc%2Ffull-record%2FWOS:000184808900012","View Full Record in Web of Science")</f>
        <v>View Full Record in Web of Science</v>
      </c>
    </row>
    <row r="243" spans="1:72" x14ac:dyDescent="0.15">
      <c r="A243" t="s">
        <v>552</v>
      </c>
      <c r="B243" t="s">
        <v>3401</v>
      </c>
      <c r="C243" t="s">
        <v>74</v>
      </c>
      <c r="D243" t="s">
        <v>74</v>
      </c>
      <c r="E243" t="s">
        <v>74</v>
      </c>
      <c r="F243" t="s">
        <v>3401</v>
      </c>
      <c r="G243" t="s">
        <v>74</v>
      </c>
      <c r="H243" t="s">
        <v>74</v>
      </c>
      <c r="I243" t="s">
        <v>3402</v>
      </c>
      <c r="J243" t="s">
        <v>3202</v>
      </c>
      <c r="K243" t="s">
        <v>74</v>
      </c>
      <c r="L243" t="s">
        <v>74</v>
      </c>
      <c r="M243" t="s">
        <v>78</v>
      </c>
      <c r="N243" t="s">
        <v>1114</v>
      </c>
      <c r="O243" t="s">
        <v>74</v>
      </c>
      <c r="P243" t="s">
        <v>74</v>
      </c>
      <c r="Q243" t="s">
        <v>74</v>
      </c>
      <c r="R243" t="s">
        <v>74</v>
      </c>
      <c r="S243" t="s">
        <v>74</v>
      </c>
      <c r="T243" t="s">
        <v>3403</v>
      </c>
      <c r="U243" t="s">
        <v>3404</v>
      </c>
      <c r="V243" t="s">
        <v>3405</v>
      </c>
      <c r="W243" t="s">
        <v>3406</v>
      </c>
      <c r="X243" t="s">
        <v>3407</v>
      </c>
      <c r="Y243" t="s">
        <v>3408</v>
      </c>
      <c r="Z243" t="s">
        <v>3409</v>
      </c>
      <c r="AA243" t="s">
        <v>3410</v>
      </c>
      <c r="AB243" t="s">
        <v>3411</v>
      </c>
      <c r="AC243" t="s">
        <v>74</v>
      </c>
      <c r="AD243" t="s">
        <v>74</v>
      </c>
      <c r="AE243" t="s">
        <v>74</v>
      </c>
      <c r="AF243" t="s">
        <v>74</v>
      </c>
      <c r="AG243">
        <v>130</v>
      </c>
      <c r="AH243">
        <v>70</v>
      </c>
      <c r="AI243">
        <v>77</v>
      </c>
      <c r="AJ243">
        <v>5</v>
      </c>
      <c r="AK243">
        <v>44</v>
      </c>
      <c r="AL243" t="s">
        <v>3209</v>
      </c>
      <c r="AM243" t="s">
        <v>3210</v>
      </c>
      <c r="AN243" t="s">
        <v>3211</v>
      </c>
      <c r="AO243" t="s">
        <v>3212</v>
      </c>
      <c r="AP243" t="s">
        <v>74</v>
      </c>
      <c r="AQ243" t="s">
        <v>74</v>
      </c>
      <c r="AR243" t="s">
        <v>3214</v>
      </c>
      <c r="AS243" t="s">
        <v>3215</v>
      </c>
      <c r="AT243" t="s">
        <v>74</v>
      </c>
      <c r="AU243">
        <v>2003</v>
      </c>
      <c r="AV243">
        <v>255</v>
      </c>
      <c r="AW243" t="s">
        <v>74</v>
      </c>
      <c r="AX243" t="s">
        <v>74</v>
      </c>
      <c r="AY243" t="s">
        <v>74</v>
      </c>
      <c r="AZ243" t="s">
        <v>74</v>
      </c>
      <c r="BA243" t="s">
        <v>74</v>
      </c>
      <c r="BB243">
        <v>55</v>
      </c>
      <c r="BC243">
        <v>80</v>
      </c>
      <c r="BD243" t="s">
        <v>74</v>
      </c>
      <c r="BE243" t="s">
        <v>3412</v>
      </c>
      <c r="BF243" t="str">
        <f>HYPERLINK("http://dx.doi.org/10.3354/meps255055","http://dx.doi.org/10.3354/meps255055")</f>
        <v>http://dx.doi.org/10.3354/meps255055</v>
      </c>
      <c r="BG243" t="s">
        <v>74</v>
      </c>
      <c r="BH243" t="s">
        <v>74</v>
      </c>
      <c r="BI243">
        <v>26</v>
      </c>
      <c r="BJ243" t="s">
        <v>3217</v>
      </c>
      <c r="BK243" t="s">
        <v>569</v>
      </c>
      <c r="BL243" t="s">
        <v>3218</v>
      </c>
      <c r="BM243" t="s">
        <v>3413</v>
      </c>
      <c r="BN243" t="s">
        <v>74</v>
      </c>
      <c r="BO243" t="s">
        <v>572</v>
      </c>
      <c r="BP243" t="s">
        <v>74</v>
      </c>
      <c r="BQ243" t="s">
        <v>74</v>
      </c>
      <c r="BR243" t="s">
        <v>98</v>
      </c>
      <c r="BS243" t="s">
        <v>3414</v>
      </c>
      <c r="BT243" t="str">
        <f>HYPERLINK("https%3A%2F%2Fwww.webofscience.com%2Fwos%2Fwoscc%2Ffull-record%2FWOS:000184268600005","View Full Record in Web of Science")</f>
        <v>View Full Record in Web of Science</v>
      </c>
    </row>
    <row r="244" spans="1:72" x14ac:dyDescent="0.15">
      <c r="A244" t="s">
        <v>552</v>
      </c>
      <c r="B244" t="s">
        <v>3415</v>
      </c>
      <c r="C244" t="s">
        <v>74</v>
      </c>
      <c r="D244" t="s">
        <v>74</v>
      </c>
      <c r="E244" t="s">
        <v>74</v>
      </c>
      <c r="F244" t="s">
        <v>3415</v>
      </c>
      <c r="G244" t="s">
        <v>74</v>
      </c>
      <c r="H244" t="s">
        <v>74</v>
      </c>
      <c r="I244" t="s">
        <v>3416</v>
      </c>
      <c r="J244" t="s">
        <v>3202</v>
      </c>
      <c r="K244" t="s">
        <v>74</v>
      </c>
      <c r="L244" t="s">
        <v>74</v>
      </c>
      <c r="M244" t="s">
        <v>78</v>
      </c>
      <c r="N244" t="s">
        <v>775</v>
      </c>
      <c r="O244" t="s">
        <v>74</v>
      </c>
      <c r="P244" t="s">
        <v>74</v>
      </c>
      <c r="Q244" t="s">
        <v>74</v>
      </c>
      <c r="R244" t="s">
        <v>74</v>
      </c>
      <c r="S244" t="s">
        <v>74</v>
      </c>
      <c r="T244" t="s">
        <v>3417</v>
      </c>
      <c r="U244" t="s">
        <v>3418</v>
      </c>
      <c r="V244" t="s">
        <v>3419</v>
      </c>
      <c r="W244" t="s">
        <v>3420</v>
      </c>
      <c r="X244" t="s">
        <v>541</v>
      </c>
      <c r="Y244" t="s">
        <v>3421</v>
      </c>
      <c r="Z244" t="s">
        <v>3422</v>
      </c>
      <c r="AA244" t="s">
        <v>74</v>
      </c>
      <c r="AB244" t="s">
        <v>74</v>
      </c>
      <c r="AC244" t="s">
        <v>74</v>
      </c>
      <c r="AD244" t="s">
        <v>74</v>
      </c>
      <c r="AE244" t="s">
        <v>74</v>
      </c>
      <c r="AF244" t="s">
        <v>74</v>
      </c>
      <c r="AG244">
        <v>32</v>
      </c>
      <c r="AH244">
        <v>15</v>
      </c>
      <c r="AI244">
        <v>16</v>
      </c>
      <c r="AJ244">
        <v>0</v>
      </c>
      <c r="AK244">
        <v>5</v>
      </c>
      <c r="AL244" t="s">
        <v>3209</v>
      </c>
      <c r="AM244" t="s">
        <v>3210</v>
      </c>
      <c r="AN244" t="s">
        <v>3211</v>
      </c>
      <c r="AO244" t="s">
        <v>3212</v>
      </c>
      <c r="AP244" t="s">
        <v>74</v>
      </c>
      <c r="AQ244" t="s">
        <v>74</v>
      </c>
      <c r="AR244" t="s">
        <v>3214</v>
      </c>
      <c r="AS244" t="s">
        <v>3215</v>
      </c>
      <c r="AT244" t="s">
        <v>74</v>
      </c>
      <c r="AU244">
        <v>2003</v>
      </c>
      <c r="AV244">
        <v>255</v>
      </c>
      <c r="AW244" t="s">
        <v>74</v>
      </c>
      <c r="AX244" t="s">
        <v>74</v>
      </c>
      <c r="AY244" t="s">
        <v>74</v>
      </c>
      <c r="AZ244" t="s">
        <v>74</v>
      </c>
      <c r="BA244" t="s">
        <v>74</v>
      </c>
      <c r="BB244">
        <v>93</v>
      </c>
      <c r="BC244">
        <v>99</v>
      </c>
      <c r="BD244" t="s">
        <v>74</v>
      </c>
      <c r="BE244" t="s">
        <v>3423</v>
      </c>
      <c r="BF244" t="str">
        <f>HYPERLINK("http://dx.doi.org/10.3354/meps255093","http://dx.doi.org/10.3354/meps255093")</f>
        <v>http://dx.doi.org/10.3354/meps255093</v>
      </c>
      <c r="BG244" t="s">
        <v>74</v>
      </c>
      <c r="BH244" t="s">
        <v>74</v>
      </c>
      <c r="BI244">
        <v>7</v>
      </c>
      <c r="BJ244" t="s">
        <v>3217</v>
      </c>
      <c r="BK244" t="s">
        <v>569</v>
      </c>
      <c r="BL244" t="s">
        <v>3218</v>
      </c>
      <c r="BM244" t="s">
        <v>3413</v>
      </c>
      <c r="BN244" t="s">
        <v>74</v>
      </c>
      <c r="BO244" t="s">
        <v>572</v>
      </c>
      <c r="BP244" t="s">
        <v>74</v>
      </c>
      <c r="BQ244" t="s">
        <v>74</v>
      </c>
      <c r="BR244" t="s">
        <v>98</v>
      </c>
      <c r="BS244" t="s">
        <v>3424</v>
      </c>
      <c r="BT244" t="str">
        <f>HYPERLINK("https%3A%2F%2Fwww.webofscience.com%2Fwos%2Fwoscc%2Ffull-record%2FWOS:000184268600007","View Full Record in Web of Science")</f>
        <v>View Full Record in Web of Science</v>
      </c>
    </row>
    <row r="245" spans="1:72" x14ac:dyDescent="0.15">
      <c r="A245" t="s">
        <v>552</v>
      </c>
      <c r="B245" t="s">
        <v>3425</v>
      </c>
      <c r="C245" t="s">
        <v>74</v>
      </c>
      <c r="D245" t="s">
        <v>74</v>
      </c>
      <c r="E245" t="s">
        <v>74</v>
      </c>
      <c r="F245" t="s">
        <v>3425</v>
      </c>
      <c r="G245" t="s">
        <v>74</v>
      </c>
      <c r="H245" t="s">
        <v>74</v>
      </c>
      <c r="I245" t="s">
        <v>3426</v>
      </c>
      <c r="J245" t="s">
        <v>3202</v>
      </c>
      <c r="K245" t="s">
        <v>74</v>
      </c>
      <c r="L245" t="s">
        <v>74</v>
      </c>
      <c r="M245" t="s">
        <v>78</v>
      </c>
      <c r="N245" t="s">
        <v>775</v>
      </c>
      <c r="O245" t="s">
        <v>74</v>
      </c>
      <c r="P245" t="s">
        <v>74</v>
      </c>
      <c r="Q245" t="s">
        <v>74</v>
      </c>
      <c r="R245" t="s">
        <v>74</v>
      </c>
      <c r="S245" t="s">
        <v>74</v>
      </c>
      <c r="T245" t="s">
        <v>3427</v>
      </c>
      <c r="U245" t="s">
        <v>3428</v>
      </c>
      <c r="V245" t="s">
        <v>3429</v>
      </c>
      <c r="W245" t="s">
        <v>3430</v>
      </c>
      <c r="X245" t="s">
        <v>3431</v>
      </c>
      <c r="Y245" t="s">
        <v>3432</v>
      </c>
      <c r="Z245" t="s">
        <v>3433</v>
      </c>
      <c r="AA245" t="s">
        <v>3434</v>
      </c>
      <c r="AB245" t="s">
        <v>3435</v>
      </c>
      <c r="AC245" t="s">
        <v>74</v>
      </c>
      <c r="AD245" t="s">
        <v>74</v>
      </c>
      <c r="AE245" t="s">
        <v>74</v>
      </c>
      <c r="AF245" t="s">
        <v>74</v>
      </c>
      <c r="AG245">
        <v>20</v>
      </c>
      <c r="AH245">
        <v>35</v>
      </c>
      <c r="AI245">
        <v>37</v>
      </c>
      <c r="AJ245">
        <v>0</v>
      </c>
      <c r="AK245">
        <v>11</v>
      </c>
      <c r="AL245" t="s">
        <v>3209</v>
      </c>
      <c r="AM245" t="s">
        <v>3210</v>
      </c>
      <c r="AN245" t="s">
        <v>3211</v>
      </c>
      <c r="AO245" t="s">
        <v>3212</v>
      </c>
      <c r="AP245" t="s">
        <v>74</v>
      </c>
      <c r="AQ245" t="s">
        <v>74</v>
      </c>
      <c r="AR245" t="s">
        <v>3214</v>
      </c>
      <c r="AS245" t="s">
        <v>3215</v>
      </c>
      <c r="AT245" t="s">
        <v>74</v>
      </c>
      <c r="AU245">
        <v>2003</v>
      </c>
      <c r="AV245">
        <v>255</v>
      </c>
      <c r="AW245" t="s">
        <v>74</v>
      </c>
      <c r="AX245" t="s">
        <v>74</v>
      </c>
      <c r="AY245" t="s">
        <v>74</v>
      </c>
      <c r="AZ245" t="s">
        <v>74</v>
      </c>
      <c r="BA245" t="s">
        <v>74</v>
      </c>
      <c r="BB245">
        <v>183</v>
      </c>
      <c r="BC245">
        <v>191</v>
      </c>
      <c r="BD245" t="s">
        <v>74</v>
      </c>
      <c r="BE245" t="s">
        <v>3436</v>
      </c>
      <c r="BF245" t="str">
        <f>HYPERLINK("http://dx.doi.org/10.3354/meps255183","http://dx.doi.org/10.3354/meps255183")</f>
        <v>http://dx.doi.org/10.3354/meps255183</v>
      </c>
      <c r="BG245" t="s">
        <v>74</v>
      </c>
      <c r="BH245" t="s">
        <v>74</v>
      </c>
      <c r="BI245">
        <v>9</v>
      </c>
      <c r="BJ245" t="s">
        <v>3217</v>
      </c>
      <c r="BK245" t="s">
        <v>569</v>
      </c>
      <c r="BL245" t="s">
        <v>3218</v>
      </c>
      <c r="BM245" t="s">
        <v>3413</v>
      </c>
      <c r="BN245" t="s">
        <v>74</v>
      </c>
      <c r="BO245" t="s">
        <v>572</v>
      </c>
      <c r="BP245" t="s">
        <v>74</v>
      </c>
      <c r="BQ245" t="s">
        <v>74</v>
      </c>
      <c r="BR245" t="s">
        <v>98</v>
      </c>
      <c r="BS245" t="s">
        <v>3437</v>
      </c>
      <c r="BT245" t="str">
        <f>HYPERLINK("https%3A%2F%2Fwww.webofscience.com%2Fwos%2Fwoscc%2Ffull-record%2FWOS:000184268600015","View Full Record in Web of Science")</f>
        <v>View Full Record in Web of Science</v>
      </c>
    </row>
    <row r="246" spans="1:72" x14ac:dyDescent="0.15">
      <c r="A246" t="s">
        <v>552</v>
      </c>
      <c r="B246" t="s">
        <v>3438</v>
      </c>
      <c r="C246" t="s">
        <v>74</v>
      </c>
      <c r="D246" t="s">
        <v>74</v>
      </c>
      <c r="E246" t="s">
        <v>74</v>
      </c>
      <c r="F246" t="s">
        <v>3438</v>
      </c>
      <c r="G246" t="s">
        <v>74</v>
      </c>
      <c r="H246" t="s">
        <v>74</v>
      </c>
      <c r="I246" t="s">
        <v>3439</v>
      </c>
      <c r="J246" t="s">
        <v>3202</v>
      </c>
      <c r="K246" t="s">
        <v>74</v>
      </c>
      <c r="L246" t="s">
        <v>74</v>
      </c>
      <c r="M246" t="s">
        <v>78</v>
      </c>
      <c r="N246" t="s">
        <v>775</v>
      </c>
      <c r="O246" t="s">
        <v>74</v>
      </c>
      <c r="P246" t="s">
        <v>74</v>
      </c>
      <c r="Q246" t="s">
        <v>74</v>
      </c>
      <c r="R246" t="s">
        <v>74</v>
      </c>
      <c r="S246" t="s">
        <v>74</v>
      </c>
      <c r="T246" t="s">
        <v>3440</v>
      </c>
      <c r="U246" t="s">
        <v>3441</v>
      </c>
      <c r="V246" t="s">
        <v>3442</v>
      </c>
      <c r="W246" t="s">
        <v>3443</v>
      </c>
      <c r="X246" t="s">
        <v>3444</v>
      </c>
      <c r="Y246" t="s">
        <v>3254</v>
      </c>
      <c r="Z246" t="s">
        <v>3445</v>
      </c>
      <c r="AA246" t="s">
        <v>3446</v>
      </c>
      <c r="AB246" t="s">
        <v>3447</v>
      </c>
      <c r="AC246" t="s">
        <v>74</v>
      </c>
      <c r="AD246" t="s">
        <v>74</v>
      </c>
      <c r="AE246" t="s">
        <v>74</v>
      </c>
      <c r="AF246" t="s">
        <v>74</v>
      </c>
      <c r="AG246">
        <v>87</v>
      </c>
      <c r="AH246">
        <v>125</v>
      </c>
      <c r="AI246">
        <v>144</v>
      </c>
      <c r="AJ246">
        <v>0</v>
      </c>
      <c r="AK246">
        <v>50</v>
      </c>
      <c r="AL246" t="s">
        <v>3209</v>
      </c>
      <c r="AM246" t="s">
        <v>3210</v>
      </c>
      <c r="AN246" t="s">
        <v>3211</v>
      </c>
      <c r="AO246" t="s">
        <v>3212</v>
      </c>
      <c r="AP246" t="s">
        <v>3213</v>
      </c>
      <c r="AQ246" t="s">
        <v>74</v>
      </c>
      <c r="AR246" t="s">
        <v>3214</v>
      </c>
      <c r="AS246" t="s">
        <v>3215</v>
      </c>
      <c r="AT246" t="s">
        <v>74</v>
      </c>
      <c r="AU246">
        <v>2003</v>
      </c>
      <c r="AV246">
        <v>255</v>
      </c>
      <c r="AW246" t="s">
        <v>74</v>
      </c>
      <c r="AX246" t="s">
        <v>74</v>
      </c>
      <c r="AY246" t="s">
        <v>74</v>
      </c>
      <c r="AZ246" t="s">
        <v>74</v>
      </c>
      <c r="BA246" t="s">
        <v>74</v>
      </c>
      <c r="BB246">
        <v>193</v>
      </c>
      <c r="BC246">
        <v>206</v>
      </c>
      <c r="BD246" t="s">
        <v>74</v>
      </c>
      <c r="BE246" t="s">
        <v>3448</v>
      </c>
      <c r="BF246" t="str">
        <f>HYPERLINK("http://dx.doi.org/10.3354/meps255193","http://dx.doi.org/10.3354/meps255193")</f>
        <v>http://dx.doi.org/10.3354/meps255193</v>
      </c>
      <c r="BG246" t="s">
        <v>74</v>
      </c>
      <c r="BH246" t="s">
        <v>74</v>
      </c>
      <c r="BI246">
        <v>14</v>
      </c>
      <c r="BJ246" t="s">
        <v>3217</v>
      </c>
      <c r="BK246" t="s">
        <v>569</v>
      </c>
      <c r="BL246" t="s">
        <v>3218</v>
      </c>
      <c r="BM246" t="s">
        <v>3413</v>
      </c>
      <c r="BN246" t="s">
        <v>74</v>
      </c>
      <c r="BO246" t="s">
        <v>572</v>
      </c>
      <c r="BP246" t="s">
        <v>74</v>
      </c>
      <c r="BQ246" t="s">
        <v>74</v>
      </c>
      <c r="BR246" t="s">
        <v>98</v>
      </c>
      <c r="BS246" t="s">
        <v>3449</v>
      </c>
      <c r="BT246" t="str">
        <f>HYPERLINK("https%3A%2F%2Fwww.webofscience.com%2Fwos%2Fwoscc%2Ffull-record%2FWOS:000184268600016","View Full Record in Web of Science")</f>
        <v>View Full Record in Web of Science</v>
      </c>
    </row>
    <row r="247" spans="1:72" x14ac:dyDescent="0.15">
      <c r="A247" t="s">
        <v>552</v>
      </c>
      <c r="B247" t="s">
        <v>3450</v>
      </c>
      <c r="C247" t="s">
        <v>74</v>
      </c>
      <c r="D247" t="s">
        <v>74</v>
      </c>
      <c r="E247" t="s">
        <v>74</v>
      </c>
      <c r="F247" t="s">
        <v>3450</v>
      </c>
      <c r="G247" t="s">
        <v>74</v>
      </c>
      <c r="H247" t="s">
        <v>74</v>
      </c>
      <c r="I247" t="s">
        <v>3451</v>
      </c>
      <c r="J247" t="s">
        <v>3202</v>
      </c>
      <c r="K247" t="s">
        <v>74</v>
      </c>
      <c r="L247" t="s">
        <v>74</v>
      </c>
      <c r="M247" t="s">
        <v>78</v>
      </c>
      <c r="N247" t="s">
        <v>775</v>
      </c>
      <c r="O247" t="s">
        <v>74</v>
      </c>
      <c r="P247" t="s">
        <v>74</v>
      </c>
      <c r="Q247" t="s">
        <v>74</v>
      </c>
      <c r="R247" t="s">
        <v>74</v>
      </c>
      <c r="S247" t="s">
        <v>74</v>
      </c>
      <c r="T247" t="s">
        <v>3452</v>
      </c>
      <c r="U247" t="s">
        <v>3453</v>
      </c>
      <c r="V247" t="s">
        <v>3454</v>
      </c>
      <c r="W247" t="s">
        <v>3455</v>
      </c>
      <c r="X247" t="s">
        <v>3456</v>
      </c>
      <c r="Y247" t="s">
        <v>3457</v>
      </c>
      <c r="Z247" t="s">
        <v>3458</v>
      </c>
      <c r="AA247" t="s">
        <v>3459</v>
      </c>
      <c r="AB247" t="s">
        <v>3460</v>
      </c>
      <c r="AC247" t="s">
        <v>74</v>
      </c>
      <c r="AD247" t="s">
        <v>74</v>
      </c>
      <c r="AE247" t="s">
        <v>74</v>
      </c>
      <c r="AF247" t="s">
        <v>74</v>
      </c>
      <c r="AG247">
        <v>36</v>
      </c>
      <c r="AH247">
        <v>14</v>
      </c>
      <c r="AI247">
        <v>14</v>
      </c>
      <c r="AJ247">
        <v>0</v>
      </c>
      <c r="AK247">
        <v>7</v>
      </c>
      <c r="AL247" t="s">
        <v>3209</v>
      </c>
      <c r="AM247" t="s">
        <v>3210</v>
      </c>
      <c r="AN247" t="s">
        <v>3211</v>
      </c>
      <c r="AO247" t="s">
        <v>3212</v>
      </c>
      <c r="AP247" t="s">
        <v>3213</v>
      </c>
      <c r="AQ247" t="s">
        <v>74</v>
      </c>
      <c r="AR247" t="s">
        <v>3214</v>
      </c>
      <c r="AS247" t="s">
        <v>3215</v>
      </c>
      <c r="AT247" t="s">
        <v>74</v>
      </c>
      <c r="AU247">
        <v>2003</v>
      </c>
      <c r="AV247">
        <v>254</v>
      </c>
      <c r="AW247" t="s">
        <v>74</v>
      </c>
      <c r="AX247" t="s">
        <v>74</v>
      </c>
      <c r="AY247" t="s">
        <v>74</v>
      </c>
      <c r="AZ247" t="s">
        <v>74</v>
      </c>
      <c r="BA247" t="s">
        <v>74</v>
      </c>
      <c r="BB247">
        <v>281</v>
      </c>
      <c r="BC247">
        <v>291</v>
      </c>
      <c r="BD247" t="s">
        <v>74</v>
      </c>
      <c r="BE247" t="s">
        <v>3461</v>
      </c>
      <c r="BF247" t="str">
        <f>HYPERLINK("http://dx.doi.org/10.3354/meps254281","http://dx.doi.org/10.3354/meps254281")</f>
        <v>http://dx.doi.org/10.3354/meps254281</v>
      </c>
      <c r="BG247" t="s">
        <v>74</v>
      </c>
      <c r="BH247" t="s">
        <v>74</v>
      </c>
      <c r="BI247">
        <v>11</v>
      </c>
      <c r="BJ247" t="s">
        <v>3217</v>
      </c>
      <c r="BK247" t="s">
        <v>569</v>
      </c>
      <c r="BL247" t="s">
        <v>3218</v>
      </c>
      <c r="BM247" t="s">
        <v>3462</v>
      </c>
      <c r="BN247" t="s">
        <v>74</v>
      </c>
      <c r="BO247" t="s">
        <v>572</v>
      </c>
      <c r="BP247" t="s">
        <v>74</v>
      </c>
      <c r="BQ247" t="s">
        <v>74</v>
      </c>
      <c r="BR247" t="s">
        <v>98</v>
      </c>
      <c r="BS247" t="s">
        <v>3463</v>
      </c>
      <c r="BT247" t="str">
        <f>HYPERLINK("https%3A%2F%2Fwww.webofscience.com%2Fwos%2Fwoscc%2Ffull-record%2FWOS:000183887600024","View Full Record in Web of Science")</f>
        <v>View Full Record in Web of Science</v>
      </c>
    </row>
    <row r="248" spans="1:72" x14ac:dyDescent="0.15">
      <c r="A248" t="s">
        <v>552</v>
      </c>
      <c r="B248" t="s">
        <v>3464</v>
      </c>
      <c r="C248" t="s">
        <v>74</v>
      </c>
      <c r="D248" t="s">
        <v>74</v>
      </c>
      <c r="E248" t="s">
        <v>74</v>
      </c>
      <c r="F248" t="s">
        <v>3464</v>
      </c>
      <c r="G248" t="s">
        <v>74</v>
      </c>
      <c r="H248" t="s">
        <v>74</v>
      </c>
      <c r="I248" t="s">
        <v>3465</v>
      </c>
      <c r="J248" t="s">
        <v>3202</v>
      </c>
      <c r="K248" t="s">
        <v>74</v>
      </c>
      <c r="L248" t="s">
        <v>74</v>
      </c>
      <c r="M248" t="s">
        <v>78</v>
      </c>
      <c r="N248" t="s">
        <v>775</v>
      </c>
      <c r="O248" t="s">
        <v>74</v>
      </c>
      <c r="P248" t="s">
        <v>74</v>
      </c>
      <c r="Q248" t="s">
        <v>74</v>
      </c>
      <c r="R248" t="s">
        <v>74</v>
      </c>
      <c r="S248" t="s">
        <v>74</v>
      </c>
      <c r="T248" t="s">
        <v>3466</v>
      </c>
      <c r="U248" t="s">
        <v>3467</v>
      </c>
      <c r="V248" t="s">
        <v>3468</v>
      </c>
      <c r="W248" t="s">
        <v>3469</v>
      </c>
      <c r="X248" t="s">
        <v>3470</v>
      </c>
      <c r="Y248" t="s">
        <v>3471</v>
      </c>
      <c r="Z248" t="s">
        <v>3472</v>
      </c>
      <c r="AA248" t="s">
        <v>74</v>
      </c>
      <c r="AB248" t="s">
        <v>74</v>
      </c>
      <c r="AC248" t="s">
        <v>74</v>
      </c>
      <c r="AD248" t="s">
        <v>74</v>
      </c>
      <c r="AE248" t="s">
        <v>74</v>
      </c>
      <c r="AF248" t="s">
        <v>74</v>
      </c>
      <c r="AG248">
        <v>52</v>
      </c>
      <c r="AH248">
        <v>57</v>
      </c>
      <c r="AI248">
        <v>65</v>
      </c>
      <c r="AJ248">
        <v>0</v>
      </c>
      <c r="AK248">
        <v>16</v>
      </c>
      <c r="AL248" t="s">
        <v>3209</v>
      </c>
      <c r="AM248" t="s">
        <v>3210</v>
      </c>
      <c r="AN248" t="s">
        <v>3211</v>
      </c>
      <c r="AO248" t="s">
        <v>3212</v>
      </c>
      <c r="AP248" t="s">
        <v>74</v>
      </c>
      <c r="AQ248" t="s">
        <v>74</v>
      </c>
      <c r="AR248" t="s">
        <v>3214</v>
      </c>
      <c r="AS248" t="s">
        <v>3215</v>
      </c>
      <c r="AT248" t="s">
        <v>74</v>
      </c>
      <c r="AU248">
        <v>2003</v>
      </c>
      <c r="AV248">
        <v>254</v>
      </c>
      <c r="AW248" t="s">
        <v>74</v>
      </c>
      <c r="AX248" t="s">
        <v>74</v>
      </c>
      <c r="AY248" t="s">
        <v>74</v>
      </c>
      <c r="AZ248" t="s">
        <v>74</v>
      </c>
      <c r="BA248" t="s">
        <v>74</v>
      </c>
      <c r="BB248">
        <v>293</v>
      </c>
      <c r="BC248">
        <v>305</v>
      </c>
      <c r="BD248" t="s">
        <v>74</v>
      </c>
      <c r="BE248" t="s">
        <v>3473</v>
      </c>
      <c r="BF248" t="str">
        <f>HYPERLINK("http://dx.doi.org/10.3354/meps254293","http://dx.doi.org/10.3354/meps254293")</f>
        <v>http://dx.doi.org/10.3354/meps254293</v>
      </c>
      <c r="BG248" t="s">
        <v>74</v>
      </c>
      <c r="BH248" t="s">
        <v>74</v>
      </c>
      <c r="BI248">
        <v>13</v>
      </c>
      <c r="BJ248" t="s">
        <v>3217</v>
      </c>
      <c r="BK248" t="s">
        <v>569</v>
      </c>
      <c r="BL248" t="s">
        <v>3218</v>
      </c>
      <c r="BM248" t="s">
        <v>3462</v>
      </c>
      <c r="BN248" t="s">
        <v>74</v>
      </c>
      <c r="BO248" t="s">
        <v>3260</v>
      </c>
      <c r="BP248" t="s">
        <v>74</v>
      </c>
      <c r="BQ248" t="s">
        <v>74</v>
      </c>
      <c r="BR248" t="s">
        <v>98</v>
      </c>
      <c r="BS248" t="s">
        <v>3474</v>
      </c>
      <c r="BT248" t="str">
        <f>HYPERLINK("https%3A%2F%2Fwww.webofscience.com%2Fwos%2Fwoscc%2Ffull-record%2FWOS:000183887600025","View Full Record in Web of Science")</f>
        <v>View Full Record in Web of Science</v>
      </c>
    </row>
    <row r="249" spans="1:72" x14ac:dyDescent="0.15">
      <c r="A249" t="s">
        <v>552</v>
      </c>
      <c r="B249" t="s">
        <v>3475</v>
      </c>
      <c r="C249" t="s">
        <v>74</v>
      </c>
      <c r="D249" t="s">
        <v>74</v>
      </c>
      <c r="E249" t="s">
        <v>74</v>
      </c>
      <c r="F249" t="s">
        <v>3475</v>
      </c>
      <c r="G249" t="s">
        <v>74</v>
      </c>
      <c r="H249" t="s">
        <v>74</v>
      </c>
      <c r="I249" t="s">
        <v>3476</v>
      </c>
      <c r="J249" t="s">
        <v>3202</v>
      </c>
      <c r="K249" t="s">
        <v>74</v>
      </c>
      <c r="L249" t="s">
        <v>74</v>
      </c>
      <c r="M249" t="s">
        <v>78</v>
      </c>
      <c r="N249" t="s">
        <v>775</v>
      </c>
      <c r="O249" t="s">
        <v>74</v>
      </c>
      <c r="P249" t="s">
        <v>74</v>
      </c>
      <c r="Q249" t="s">
        <v>74</v>
      </c>
      <c r="R249" t="s">
        <v>74</v>
      </c>
      <c r="S249" t="s">
        <v>74</v>
      </c>
      <c r="T249" t="s">
        <v>3477</v>
      </c>
      <c r="U249" t="s">
        <v>3478</v>
      </c>
      <c r="V249" t="s">
        <v>3479</v>
      </c>
      <c r="W249" t="s">
        <v>3480</v>
      </c>
      <c r="X249" t="s">
        <v>584</v>
      </c>
      <c r="Y249" t="s">
        <v>3481</v>
      </c>
      <c r="Z249" t="s">
        <v>3482</v>
      </c>
      <c r="AA249" t="s">
        <v>3483</v>
      </c>
      <c r="AB249" t="s">
        <v>3484</v>
      </c>
      <c r="AC249" t="s">
        <v>74</v>
      </c>
      <c r="AD249" t="s">
        <v>74</v>
      </c>
      <c r="AE249" t="s">
        <v>74</v>
      </c>
      <c r="AF249" t="s">
        <v>74</v>
      </c>
      <c r="AG249">
        <v>34</v>
      </c>
      <c r="AH249">
        <v>147</v>
      </c>
      <c r="AI249">
        <v>154</v>
      </c>
      <c r="AJ249">
        <v>0</v>
      </c>
      <c r="AK249">
        <v>21</v>
      </c>
      <c r="AL249" t="s">
        <v>3209</v>
      </c>
      <c r="AM249" t="s">
        <v>3210</v>
      </c>
      <c r="AN249" t="s">
        <v>3211</v>
      </c>
      <c r="AO249" t="s">
        <v>3212</v>
      </c>
      <c r="AP249" t="s">
        <v>3213</v>
      </c>
      <c r="AQ249" t="s">
        <v>74</v>
      </c>
      <c r="AR249" t="s">
        <v>3214</v>
      </c>
      <c r="AS249" t="s">
        <v>3215</v>
      </c>
      <c r="AT249" t="s">
        <v>74</v>
      </c>
      <c r="AU249">
        <v>2003</v>
      </c>
      <c r="AV249">
        <v>253</v>
      </c>
      <c r="AW249" t="s">
        <v>74</v>
      </c>
      <c r="AX249" t="s">
        <v>74</v>
      </c>
      <c r="AY249" t="s">
        <v>74</v>
      </c>
      <c r="AZ249" t="s">
        <v>74</v>
      </c>
      <c r="BA249" t="s">
        <v>74</v>
      </c>
      <c r="BB249">
        <v>77</v>
      </c>
      <c r="BC249">
        <v>83</v>
      </c>
      <c r="BD249" t="s">
        <v>74</v>
      </c>
      <c r="BE249" t="s">
        <v>3485</v>
      </c>
      <c r="BF249" t="str">
        <f>HYPERLINK("http://dx.doi.org/10.3354/meps253077","http://dx.doi.org/10.3354/meps253077")</f>
        <v>http://dx.doi.org/10.3354/meps253077</v>
      </c>
      <c r="BG249" t="s">
        <v>74</v>
      </c>
      <c r="BH249" t="s">
        <v>74</v>
      </c>
      <c r="BI249">
        <v>7</v>
      </c>
      <c r="BJ249" t="s">
        <v>3217</v>
      </c>
      <c r="BK249" t="s">
        <v>569</v>
      </c>
      <c r="BL249" t="s">
        <v>3218</v>
      </c>
      <c r="BM249" t="s">
        <v>3486</v>
      </c>
      <c r="BN249" t="s">
        <v>74</v>
      </c>
      <c r="BO249" t="s">
        <v>572</v>
      </c>
      <c r="BP249" t="s">
        <v>74</v>
      </c>
      <c r="BQ249" t="s">
        <v>74</v>
      </c>
      <c r="BR249" t="s">
        <v>98</v>
      </c>
      <c r="BS249" t="s">
        <v>3487</v>
      </c>
      <c r="BT249" t="str">
        <f>HYPERLINK("https%3A%2F%2Fwww.webofscience.com%2Fwos%2Fwoscc%2Ffull-record%2FWOS:000183487200007","View Full Record in Web of Science")</f>
        <v>View Full Record in Web of Science</v>
      </c>
    </row>
    <row r="250" spans="1:72" x14ac:dyDescent="0.15">
      <c r="A250" t="s">
        <v>552</v>
      </c>
      <c r="B250" t="s">
        <v>3488</v>
      </c>
      <c r="C250" t="s">
        <v>74</v>
      </c>
      <c r="D250" t="s">
        <v>74</v>
      </c>
      <c r="E250" t="s">
        <v>74</v>
      </c>
      <c r="F250" t="s">
        <v>3488</v>
      </c>
      <c r="G250" t="s">
        <v>74</v>
      </c>
      <c r="H250" t="s">
        <v>74</v>
      </c>
      <c r="I250" t="s">
        <v>3489</v>
      </c>
      <c r="J250" t="s">
        <v>3202</v>
      </c>
      <c r="K250" t="s">
        <v>74</v>
      </c>
      <c r="L250" t="s">
        <v>74</v>
      </c>
      <c r="M250" t="s">
        <v>78</v>
      </c>
      <c r="N250" t="s">
        <v>775</v>
      </c>
      <c r="O250" t="s">
        <v>74</v>
      </c>
      <c r="P250" t="s">
        <v>74</v>
      </c>
      <c r="Q250" t="s">
        <v>74</v>
      </c>
      <c r="R250" t="s">
        <v>74</v>
      </c>
      <c r="S250" t="s">
        <v>74</v>
      </c>
      <c r="T250" t="s">
        <v>3490</v>
      </c>
      <c r="U250" t="s">
        <v>3491</v>
      </c>
      <c r="V250" t="s">
        <v>3492</v>
      </c>
      <c r="W250" t="s">
        <v>3493</v>
      </c>
      <c r="X250" t="s">
        <v>3494</v>
      </c>
      <c r="Y250" t="s">
        <v>3495</v>
      </c>
      <c r="Z250" t="s">
        <v>3496</v>
      </c>
      <c r="AA250" t="s">
        <v>3497</v>
      </c>
      <c r="AB250" t="s">
        <v>74</v>
      </c>
      <c r="AC250" t="s">
        <v>74</v>
      </c>
      <c r="AD250" t="s">
        <v>74</v>
      </c>
      <c r="AE250" t="s">
        <v>74</v>
      </c>
      <c r="AF250" t="s">
        <v>74</v>
      </c>
      <c r="AG250">
        <v>52</v>
      </c>
      <c r="AH250">
        <v>5</v>
      </c>
      <c r="AI250">
        <v>5</v>
      </c>
      <c r="AJ250">
        <v>0</v>
      </c>
      <c r="AK250">
        <v>2</v>
      </c>
      <c r="AL250" t="s">
        <v>3209</v>
      </c>
      <c r="AM250" t="s">
        <v>3210</v>
      </c>
      <c r="AN250" t="s">
        <v>3211</v>
      </c>
      <c r="AO250" t="s">
        <v>3212</v>
      </c>
      <c r="AP250" t="s">
        <v>74</v>
      </c>
      <c r="AQ250" t="s">
        <v>74</v>
      </c>
      <c r="AR250" t="s">
        <v>3214</v>
      </c>
      <c r="AS250" t="s">
        <v>3215</v>
      </c>
      <c r="AT250" t="s">
        <v>74</v>
      </c>
      <c r="AU250">
        <v>2003</v>
      </c>
      <c r="AV250">
        <v>253</v>
      </c>
      <c r="AW250" t="s">
        <v>74</v>
      </c>
      <c r="AX250" t="s">
        <v>74</v>
      </c>
      <c r="AY250" t="s">
        <v>74</v>
      </c>
      <c r="AZ250" t="s">
        <v>74</v>
      </c>
      <c r="BA250" t="s">
        <v>74</v>
      </c>
      <c r="BB250">
        <v>209</v>
      </c>
      <c r="BC250">
        <v>216</v>
      </c>
      <c r="BD250" t="s">
        <v>74</v>
      </c>
      <c r="BE250" t="s">
        <v>3498</v>
      </c>
      <c r="BF250" t="str">
        <f>HYPERLINK("http://dx.doi.org/10.3354/meps253209","http://dx.doi.org/10.3354/meps253209")</f>
        <v>http://dx.doi.org/10.3354/meps253209</v>
      </c>
      <c r="BG250" t="s">
        <v>74</v>
      </c>
      <c r="BH250" t="s">
        <v>74</v>
      </c>
      <c r="BI250">
        <v>8</v>
      </c>
      <c r="BJ250" t="s">
        <v>3217</v>
      </c>
      <c r="BK250" t="s">
        <v>569</v>
      </c>
      <c r="BL250" t="s">
        <v>3218</v>
      </c>
      <c r="BM250" t="s">
        <v>3486</v>
      </c>
      <c r="BN250" t="s">
        <v>74</v>
      </c>
      <c r="BO250" t="s">
        <v>572</v>
      </c>
      <c r="BP250" t="s">
        <v>74</v>
      </c>
      <c r="BQ250" t="s">
        <v>74</v>
      </c>
      <c r="BR250" t="s">
        <v>98</v>
      </c>
      <c r="BS250" t="s">
        <v>3499</v>
      </c>
      <c r="BT250" t="str">
        <f>HYPERLINK("https%3A%2F%2Fwww.webofscience.com%2Fwos%2Fwoscc%2Ffull-record%2FWOS:000183487200019","View Full Record in Web of Science")</f>
        <v>View Full Record in Web of Science</v>
      </c>
    </row>
    <row r="251" spans="1:72" x14ac:dyDescent="0.15">
      <c r="A251" t="s">
        <v>552</v>
      </c>
      <c r="B251" t="s">
        <v>3500</v>
      </c>
      <c r="C251" t="s">
        <v>74</v>
      </c>
      <c r="D251" t="s">
        <v>74</v>
      </c>
      <c r="E251" t="s">
        <v>74</v>
      </c>
      <c r="F251" t="s">
        <v>3500</v>
      </c>
      <c r="G251" t="s">
        <v>74</v>
      </c>
      <c r="H251" t="s">
        <v>74</v>
      </c>
      <c r="I251" t="s">
        <v>3501</v>
      </c>
      <c r="J251" t="s">
        <v>3202</v>
      </c>
      <c r="K251" t="s">
        <v>74</v>
      </c>
      <c r="L251" t="s">
        <v>74</v>
      </c>
      <c r="M251" t="s">
        <v>78</v>
      </c>
      <c r="N251" t="s">
        <v>775</v>
      </c>
      <c r="O251" t="s">
        <v>74</v>
      </c>
      <c r="P251" t="s">
        <v>74</v>
      </c>
      <c r="Q251" t="s">
        <v>74</v>
      </c>
      <c r="R251" t="s">
        <v>74</v>
      </c>
      <c r="S251" t="s">
        <v>74</v>
      </c>
      <c r="T251" t="s">
        <v>3502</v>
      </c>
      <c r="U251" t="s">
        <v>3503</v>
      </c>
      <c r="V251" t="s">
        <v>3504</v>
      </c>
      <c r="W251" t="s">
        <v>3505</v>
      </c>
      <c r="X251" t="s">
        <v>3506</v>
      </c>
      <c r="Y251" t="s">
        <v>3507</v>
      </c>
      <c r="Z251" t="s">
        <v>3508</v>
      </c>
      <c r="AA251" t="s">
        <v>74</v>
      </c>
      <c r="AB251" t="s">
        <v>74</v>
      </c>
      <c r="AC251" t="s">
        <v>74</v>
      </c>
      <c r="AD251" t="s">
        <v>74</v>
      </c>
      <c r="AE251" t="s">
        <v>74</v>
      </c>
      <c r="AF251" t="s">
        <v>74</v>
      </c>
      <c r="AG251">
        <v>67</v>
      </c>
      <c r="AH251">
        <v>9</v>
      </c>
      <c r="AI251">
        <v>9</v>
      </c>
      <c r="AJ251">
        <v>0</v>
      </c>
      <c r="AK251">
        <v>3</v>
      </c>
      <c r="AL251" t="s">
        <v>3209</v>
      </c>
      <c r="AM251" t="s">
        <v>3210</v>
      </c>
      <c r="AN251" t="s">
        <v>3211</v>
      </c>
      <c r="AO251" t="s">
        <v>3212</v>
      </c>
      <c r="AP251" t="s">
        <v>3213</v>
      </c>
      <c r="AQ251" t="s">
        <v>74</v>
      </c>
      <c r="AR251" t="s">
        <v>3214</v>
      </c>
      <c r="AS251" t="s">
        <v>3215</v>
      </c>
      <c r="AT251" t="s">
        <v>74</v>
      </c>
      <c r="AU251">
        <v>2003</v>
      </c>
      <c r="AV251">
        <v>253</v>
      </c>
      <c r="AW251" t="s">
        <v>74</v>
      </c>
      <c r="AX251" t="s">
        <v>74</v>
      </c>
      <c r="AY251" t="s">
        <v>74</v>
      </c>
      <c r="AZ251" t="s">
        <v>74</v>
      </c>
      <c r="BA251" t="s">
        <v>74</v>
      </c>
      <c r="BB251">
        <v>217</v>
      </c>
      <c r="BC251">
        <v>232</v>
      </c>
      <c r="BD251" t="s">
        <v>74</v>
      </c>
      <c r="BE251" t="s">
        <v>3509</v>
      </c>
      <c r="BF251" t="str">
        <f>HYPERLINK("http://dx.doi.org/10.3354/meps253217","http://dx.doi.org/10.3354/meps253217")</f>
        <v>http://dx.doi.org/10.3354/meps253217</v>
      </c>
      <c r="BG251" t="s">
        <v>74</v>
      </c>
      <c r="BH251" t="s">
        <v>74</v>
      </c>
      <c r="BI251">
        <v>16</v>
      </c>
      <c r="BJ251" t="s">
        <v>3217</v>
      </c>
      <c r="BK251" t="s">
        <v>569</v>
      </c>
      <c r="BL251" t="s">
        <v>3218</v>
      </c>
      <c r="BM251" t="s">
        <v>3486</v>
      </c>
      <c r="BN251" t="s">
        <v>74</v>
      </c>
      <c r="BO251" t="s">
        <v>3510</v>
      </c>
      <c r="BP251" t="s">
        <v>74</v>
      </c>
      <c r="BQ251" t="s">
        <v>74</v>
      </c>
      <c r="BR251" t="s">
        <v>98</v>
      </c>
      <c r="BS251" t="s">
        <v>3511</v>
      </c>
      <c r="BT251" t="str">
        <f>HYPERLINK("https%3A%2F%2Fwww.webofscience.com%2Fwos%2Fwoscc%2Ffull-record%2FWOS:000183487200020","View Full Record in Web of Science")</f>
        <v>View Full Record in Web of Science</v>
      </c>
    </row>
    <row r="252" spans="1:72" x14ac:dyDescent="0.15">
      <c r="A252" t="s">
        <v>552</v>
      </c>
      <c r="B252" t="s">
        <v>3512</v>
      </c>
      <c r="C252" t="s">
        <v>74</v>
      </c>
      <c r="D252" t="s">
        <v>74</v>
      </c>
      <c r="E252" t="s">
        <v>74</v>
      </c>
      <c r="F252" t="s">
        <v>3512</v>
      </c>
      <c r="G252" t="s">
        <v>74</v>
      </c>
      <c r="H252" t="s">
        <v>74</v>
      </c>
      <c r="I252" t="s">
        <v>3513</v>
      </c>
      <c r="J252" t="s">
        <v>3202</v>
      </c>
      <c r="K252" t="s">
        <v>74</v>
      </c>
      <c r="L252" t="s">
        <v>74</v>
      </c>
      <c r="M252" t="s">
        <v>78</v>
      </c>
      <c r="N252" t="s">
        <v>775</v>
      </c>
      <c r="O252" t="s">
        <v>74</v>
      </c>
      <c r="P252" t="s">
        <v>74</v>
      </c>
      <c r="Q252" t="s">
        <v>74</v>
      </c>
      <c r="R252" t="s">
        <v>74</v>
      </c>
      <c r="S252" t="s">
        <v>74</v>
      </c>
      <c r="T252" t="s">
        <v>3514</v>
      </c>
      <c r="U252" t="s">
        <v>3515</v>
      </c>
      <c r="V252" t="s">
        <v>3516</v>
      </c>
      <c r="W252" t="s">
        <v>3517</v>
      </c>
      <c r="X252" t="s">
        <v>3518</v>
      </c>
      <c r="Y252" t="s">
        <v>3519</v>
      </c>
      <c r="Z252" t="s">
        <v>3520</v>
      </c>
      <c r="AA252" t="s">
        <v>74</v>
      </c>
      <c r="AB252" t="s">
        <v>74</v>
      </c>
      <c r="AC252" t="s">
        <v>74</v>
      </c>
      <c r="AD252" t="s">
        <v>74</v>
      </c>
      <c r="AE252" t="s">
        <v>74</v>
      </c>
      <c r="AF252" t="s">
        <v>74</v>
      </c>
      <c r="AG252">
        <v>47</v>
      </c>
      <c r="AH252">
        <v>16</v>
      </c>
      <c r="AI252">
        <v>17</v>
      </c>
      <c r="AJ252">
        <v>0</v>
      </c>
      <c r="AK252">
        <v>7</v>
      </c>
      <c r="AL252" t="s">
        <v>3209</v>
      </c>
      <c r="AM252" t="s">
        <v>3210</v>
      </c>
      <c r="AN252" t="s">
        <v>3211</v>
      </c>
      <c r="AO252" t="s">
        <v>3212</v>
      </c>
      <c r="AP252" t="s">
        <v>3213</v>
      </c>
      <c r="AQ252" t="s">
        <v>74</v>
      </c>
      <c r="AR252" t="s">
        <v>3214</v>
      </c>
      <c r="AS252" t="s">
        <v>3215</v>
      </c>
      <c r="AT252" t="s">
        <v>74</v>
      </c>
      <c r="AU252">
        <v>2003</v>
      </c>
      <c r="AV252">
        <v>253</v>
      </c>
      <c r="AW252" t="s">
        <v>74</v>
      </c>
      <c r="AX252" t="s">
        <v>74</v>
      </c>
      <c r="AY252" t="s">
        <v>74</v>
      </c>
      <c r="AZ252" t="s">
        <v>74</v>
      </c>
      <c r="BA252" t="s">
        <v>74</v>
      </c>
      <c r="BB252">
        <v>233</v>
      </c>
      <c r="BC252">
        <v>241</v>
      </c>
      <c r="BD252" t="s">
        <v>74</v>
      </c>
      <c r="BE252" t="s">
        <v>3521</v>
      </c>
      <c r="BF252" t="str">
        <f>HYPERLINK("http://dx.doi.org/10.3354/meps253233","http://dx.doi.org/10.3354/meps253233")</f>
        <v>http://dx.doi.org/10.3354/meps253233</v>
      </c>
      <c r="BG252" t="s">
        <v>74</v>
      </c>
      <c r="BH252" t="s">
        <v>74</v>
      </c>
      <c r="BI252">
        <v>9</v>
      </c>
      <c r="BJ252" t="s">
        <v>3217</v>
      </c>
      <c r="BK252" t="s">
        <v>569</v>
      </c>
      <c r="BL252" t="s">
        <v>3218</v>
      </c>
      <c r="BM252" t="s">
        <v>3486</v>
      </c>
      <c r="BN252" t="s">
        <v>74</v>
      </c>
      <c r="BO252" t="s">
        <v>572</v>
      </c>
      <c r="BP252" t="s">
        <v>74</v>
      </c>
      <c r="BQ252" t="s">
        <v>74</v>
      </c>
      <c r="BR252" t="s">
        <v>98</v>
      </c>
      <c r="BS252" t="s">
        <v>3522</v>
      </c>
      <c r="BT252" t="str">
        <f>HYPERLINK("https%3A%2F%2Fwww.webofscience.com%2Fwos%2Fwoscc%2Ffull-record%2FWOS:000183487200021","View Full Record in Web of Science")</f>
        <v>View Full Record in Web of Science</v>
      </c>
    </row>
    <row r="253" spans="1:72" x14ac:dyDescent="0.15">
      <c r="A253" t="s">
        <v>552</v>
      </c>
      <c r="B253" t="s">
        <v>3523</v>
      </c>
      <c r="C253" t="s">
        <v>74</v>
      </c>
      <c r="D253" t="s">
        <v>74</v>
      </c>
      <c r="E253" t="s">
        <v>74</v>
      </c>
      <c r="F253" t="s">
        <v>3523</v>
      </c>
      <c r="G253" t="s">
        <v>74</v>
      </c>
      <c r="H253" t="s">
        <v>74</v>
      </c>
      <c r="I253" t="s">
        <v>3524</v>
      </c>
      <c r="J253" t="s">
        <v>3202</v>
      </c>
      <c r="K253" t="s">
        <v>74</v>
      </c>
      <c r="L253" t="s">
        <v>74</v>
      </c>
      <c r="M253" t="s">
        <v>78</v>
      </c>
      <c r="N253" t="s">
        <v>1792</v>
      </c>
      <c r="O253" t="s">
        <v>74</v>
      </c>
      <c r="P253" t="s">
        <v>74</v>
      </c>
      <c r="Q253" t="s">
        <v>74</v>
      </c>
      <c r="R253" t="s">
        <v>74</v>
      </c>
      <c r="S253" t="s">
        <v>74</v>
      </c>
      <c r="T253" t="s">
        <v>74</v>
      </c>
      <c r="U253" t="s">
        <v>74</v>
      </c>
      <c r="V253" t="s">
        <v>74</v>
      </c>
      <c r="W253" t="s">
        <v>74</v>
      </c>
      <c r="X253" t="s">
        <v>74</v>
      </c>
      <c r="Y253" t="s">
        <v>74</v>
      </c>
      <c r="Z253" t="s">
        <v>74</v>
      </c>
      <c r="AA253" t="s">
        <v>3525</v>
      </c>
      <c r="AB253" t="s">
        <v>74</v>
      </c>
      <c r="AC253" t="s">
        <v>74</v>
      </c>
      <c r="AD253" t="s">
        <v>74</v>
      </c>
      <c r="AE253" t="s">
        <v>74</v>
      </c>
      <c r="AF253" t="s">
        <v>74</v>
      </c>
      <c r="AG253">
        <v>1</v>
      </c>
      <c r="AH253">
        <v>2</v>
      </c>
      <c r="AI253">
        <v>2</v>
      </c>
      <c r="AJ253">
        <v>0</v>
      </c>
      <c r="AK253">
        <v>4</v>
      </c>
      <c r="AL253" t="s">
        <v>3209</v>
      </c>
      <c r="AM253" t="s">
        <v>3210</v>
      </c>
      <c r="AN253" t="s">
        <v>3211</v>
      </c>
      <c r="AO253" t="s">
        <v>3212</v>
      </c>
      <c r="AP253" t="s">
        <v>74</v>
      </c>
      <c r="AQ253" t="s">
        <v>74</v>
      </c>
      <c r="AR253" t="s">
        <v>3214</v>
      </c>
      <c r="AS253" t="s">
        <v>3215</v>
      </c>
      <c r="AT253" t="s">
        <v>74</v>
      </c>
      <c r="AU253">
        <v>2003</v>
      </c>
      <c r="AV253">
        <v>253</v>
      </c>
      <c r="AW253" t="s">
        <v>74</v>
      </c>
      <c r="AX253" t="s">
        <v>74</v>
      </c>
      <c r="AY253" t="s">
        <v>74</v>
      </c>
      <c r="AZ253" t="s">
        <v>74</v>
      </c>
      <c r="BA253" t="s">
        <v>74</v>
      </c>
      <c r="BB253">
        <v>310</v>
      </c>
      <c r="BC253">
        <v>310</v>
      </c>
      <c r="BD253" t="s">
        <v>74</v>
      </c>
      <c r="BE253" t="s">
        <v>74</v>
      </c>
      <c r="BF253" t="s">
        <v>74</v>
      </c>
      <c r="BG253" t="s">
        <v>74</v>
      </c>
      <c r="BH253" t="s">
        <v>74</v>
      </c>
      <c r="BI253">
        <v>1</v>
      </c>
      <c r="BJ253" t="s">
        <v>3217</v>
      </c>
      <c r="BK253" t="s">
        <v>569</v>
      </c>
      <c r="BL253" t="s">
        <v>3218</v>
      </c>
      <c r="BM253" t="s">
        <v>3486</v>
      </c>
      <c r="BN253" t="s">
        <v>74</v>
      </c>
      <c r="BO253" t="s">
        <v>74</v>
      </c>
      <c r="BP253" t="s">
        <v>74</v>
      </c>
      <c r="BQ253" t="s">
        <v>74</v>
      </c>
      <c r="BR253" t="s">
        <v>98</v>
      </c>
      <c r="BS253" t="s">
        <v>3526</v>
      </c>
      <c r="BT253" t="str">
        <f>HYPERLINK("https%3A%2F%2Fwww.webofscience.com%2Fwos%2Fwoscc%2Ffull-record%2FWOS:000183487200028","View Full Record in Web of Science")</f>
        <v>View Full Record in Web of Science</v>
      </c>
    </row>
    <row r="254" spans="1:72" x14ac:dyDescent="0.15">
      <c r="A254" t="s">
        <v>552</v>
      </c>
      <c r="B254" t="s">
        <v>3527</v>
      </c>
      <c r="C254" t="s">
        <v>74</v>
      </c>
      <c r="D254" t="s">
        <v>74</v>
      </c>
      <c r="E254" t="s">
        <v>74</v>
      </c>
      <c r="F254" t="s">
        <v>3527</v>
      </c>
      <c r="G254" t="s">
        <v>74</v>
      </c>
      <c r="H254" t="s">
        <v>74</v>
      </c>
      <c r="I254" t="s">
        <v>3528</v>
      </c>
      <c r="J254" t="s">
        <v>3202</v>
      </c>
      <c r="K254" t="s">
        <v>74</v>
      </c>
      <c r="L254" t="s">
        <v>74</v>
      </c>
      <c r="M254" t="s">
        <v>78</v>
      </c>
      <c r="N254" t="s">
        <v>556</v>
      </c>
      <c r="O254" t="s">
        <v>74</v>
      </c>
      <c r="P254" t="s">
        <v>74</v>
      </c>
      <c r="Q254" t="s">
        <v>74</v>
      </c>
      <c r="R254" t="s">
        <v>74</v>
      </c>
      <c r="S254" t="s">
        <v>74</v>
      </c>
      <c r="T254" t="s">
        <v>74</v>
      </c>
      <c r="U254" t="s">
        <v>3529</v>
      </c>
      <c r="V254" t="s">
        <v>74</v>
      </c>
      <c r="W254" t="s">
        <v>3530</v>
      </c>
      <c r="X254" t="s">
        <v>3531</v>
      </c>
      <c r="Y254" t="s">
        <v>3532</v>
      </c>
      <c r="Z254" t="s">
        <v>3305</v>
      </c>
      <c r="AA254" t="s">
        <v>3533</v>
      </c>
      <c r="AB254" t="s">
        <v>3534</v>
      </c>
      <c r="AC254" t="s">
        <v>74</v>
      </c>
      <c r="AD254" t="s">
        <v>74</v>
      </c>
      <c r="AE254" t="s">
        <v>74</v>
      </c>
      <c r="AF254" t="s">
        <v>74</v>
      </c>
      <c r="AG254">
        <v>13</v>
      </c>
      <c r="AH254">
        <v>3</v>
      </c>
      <c r="AI254">
        <v>3</v>
      </c>
      <c r="AJ254">
        <v>1</v>
      </c>
      <c r="AK254">
        <v>7</v>
      </c>
      <c r="AL254" t="s">
        <v>3209</v>
      </c>
      <c r="AM254" t="s">
        <v>3210</v>
      </c>
      <c r="AN254" t="s">
        <v>3211</v>
      </c>
      <c r="AO254" t="s">
        <v>3212</v>
      </c>
      <c r="AP254" t="s">
        <v>3213</v>
      </c>
      <c r="AQ254" t="s">
        <v>74</v>
      </c>
      <c r="AR254" t="s">
        <v>3214</v>
      </c>
      <c r="AS254" t="s">
        <v>3215</v>
      </c>
      <c r="AT254" t="s">
        <v>74</v>
      </c>
      <c r="AU254">
        <v>2003</v>
      </c>
      <c r="AV254">
        <v>252</v>
      </c>
      <c r="AW254" t="s">
        <v>74</v>
      </c>
      <c r="AX254" t="s">
        <v>74</v>
      </c>
      <c r="AY254" t="s">
        <v>74</v>
      </c>
      <c r="AZ254" t="s">
        <v>74</v>
      </c>
      <c r="BA254" t="s">
        <v>74</v>
      </c>
      <c r="BB254">
        <v>307</v>
      </c>
      <c r="BC254">
        <v>310</v>
      </c>
      <c r="BD254" t="s">
        <v>74</v>
      </c>
      <c r="BE254" t="s">
        <v>3535</v>
      </c>
      <c r="BF254" t="str">
        <f>HYPERLINK("http://dx.doi.org/10.3354/meps252307","http://dx.doi.org/10.3354/meps252307")</f>
        <v>http://dx.doi.org/10.3354/meps252307</v>
      </c>
      <c r="BG254" t="s">
        <v>74</v>
      </c>
      <c r="BH254" t="s">
        <v>74</v>
      </c>
      <c r="BI254">
        <v>4</v>
      </c>
      <c r="BJ254" t="s">
        <v>3217</v>
      </c>
      <c r="BK254" t="s">
        <v>569</v>
      </c>
      <c r="BL254" t="s">
        <v>3218</v>
      </c>
      <c r="BM254" t="s">
        <v>3536</v>
      </c>
      <c r="BN254" t="s">
        <v>74</v>
      </c>
      <c r="BO254" t="s">
        <v>1574</v>
      </c>
      <c r="BP254" t="s">
        <v>74</v>
      </c>
      <c r="BQ254" t="s">
        <v>74</v>
      </c>
      <c r="BR254" t="s">
        <v>98</v>
      </c>
      <c r="BS254" t="s">
        <v>3537</v>
      </c>
      <c r="BT254" t="str">
        <f>HYPERLINK("https%3A%2F%2Fwww.webofscience.com%2Fwos%2Fwoscc%2Ffull-record%2FWOS:000183325800025","View Full Record in Web of Science")</f>
        <v>View Full Record in Web of Science</v>
      </c>
    </row>
    <row r="255" spans="1:72" x14ac:dyDescent="0.15">
      <c r="A255" t="s">
        <v>552</v>
      </c>
      <c r="B255" t="s">
        <v>3538</v>
      </c>
      <c r="C255" t="s">
        <v>74</v>
      </c>
      <c r="D255" t="s">
        <v>74</v>
      </c>
      <c r="E255" t="s">
        <v>74</v>
      </c>
      <c r="F255" t="s">
        <v>3538</v>
      </c>
      <c r="G255" t="s">
        <v>74</v>
      </c>
      <c r="H255" t="s">
        <v>74</v>
      </c>
      <c r="I255" t="s">
        <v>3539</v>
      </c>
      <c r="J255" t="s">
        <v>3202</v>
      </c>
      <c r="K255" t="s">
        <v>74</v>
      </c>
      <c r="L255" t="s">
        <v>74</v>
      </c>
      <c r="M255" t="s">
        <v>78</v>
      </c>
      <c r="N255" t="s">
        <v>775</v>
      </c>
      <c r="O255" t="s">
        <v>74</v>
      </c>
      <c r="P255" t="s">
        <v>74</v>
      </c>
      <c r="Q255" t="s">
        <v>74</v>
      </c>
      <c r="R255" t="s">
        <v>74</v>
      </c>
      <c r="S255" t="s">
        <v>74</v>
      </c>
      <c r="T255" t="s">
        <v>3540</v>
      </c>
      <c r="U255" t="s">
        <v>3541</v>
      </c>
      <c r="V255" t="s">
        <v>3542</v>
      </c>
      <c r="W255" t="s">
        <v>3543</v>
      </c>
      <c r="X255" t="s">
        <v>3544</v>
      </c>
      <c r="Y255" t="s">
        <v>3545</v>
      </c>
      <c r="Z255" t="s">
        <v>3546</v>
      </c>
      <c r="AA255" t="s">
        <v>3547</v>
      </c>
      <c r="AB255" t="s">
        <v>3548</v>
      </c>
      <c r="AC255" t="s">
        <v>74</v>
      </c>
      <c r="AD255" t="s">
        <v>74</v>
      </c>
      <c r="AE255" t="s">
        <v>74</v>
      </c>
      <c r="AF255" t="s">
        <v>74</v>
      </c>
      <c r="AG255">
        <v>67</v>
      </c>
      <c r="AH255">
        <v>92</v>
      </c>
      <c r="AI255">
        <v>101</v>
      </c>
      <c r="AJ255">
        <v>0</v>
      </c>
      <c r="AK255">
        <v>23</v>
      </c>
      <c r="AL255" t="s">
        <v>3209</v>
      </c>
      <c r="AM255" t="s">
        <v>3210</v>
      </c>
      <c r="AN255" t="s">
        <v>3211</v>
      </c>
      <c r="AO255" t="s">
        <v>3212</v>
      </c>
      <c r="AP255" t="s">
        <v>3213</v>
      </c>
      <c r="AQ255" t="s">
        <v>74</v>
      </c>
      <c r="AR255" t="s">
        <v>3214</v>
      </c>
      <c r="AS255" t="s">
        <v>3215</v>
      </c>
      <c r="AT255" t="s">
        <v>74</v>
      </c>
      <c r="AU255">
        <v>2003</v>
      </c>
      <c r="AV255">
        <v>251</v>
      </c>
      <c r="AW255" t="s">
        <v>74</v>
      </c>
      <c r="AX255" t="s">
        <v>74</v>
      </c>
      <c r="AY255" t="s">
        <v>74</v>
      </c>
      <c r="AZ255" t="s">
        <v>74</v>
      </c>
      <c r="BA255" t="s">
        <v>74</v>
      </c>
      <c r="BB255">
        <v>75</v>
      </c>
      <c r="BC255">
        <v>86</v>
      </c>
      <c r="BD255" t="s">
        <v>74</v>
      </c>
      <c r="BE255" t="s">
        <v>3549</v>
      </c>
      <c r="BF255" t="str">
        <f>HYPERLINK("http://dx.doi.org/10.3354/meps251075","http://dx.doi.org/10.3354/meps251075")</f>
        <v>http://dx.doi.org/10.3354/meps251075</v>
      </c>
      <c r="BG255" t="s">
        <v>74</v>
      </c>
      <c r="BH255" t="s">
        <v>74</v>
      </c>
      <c r="BI255">
        <v>12</v>
      </c>
      <c r="BJ255" t="s">
        <v>3217</v>
      </c>
      <c r="BK255" t="s">
        <v>569</v>
      </c>
      <c r="BL255" t="s">
        <v>3218</v>
      </c>
      <c r="BM255" t="s">
        <v>3550</v>
      </c>
      <c r="BN255" t="s">
        <v>74</v>
      </c>
      <c r="BO255" t="s">
        <v>572</v>
      </c>
      <c r="BP255" t="s">
        <v>74</v>
      </c>
      <c r="BQ255" t="s">
        <v>74</v>
      </c>
      <c r="BR255" t="s">
        <v>98</v>
      </c>
      <c r="BS255" t="s">
        <v>3551</v>
      </c>
      <c r="BT255" t="str">
        <f>HYPERLINK("https%3A%2F%2Fwww.webofscience.com%2Fwos%2Fwoscc%2Ffull-record%2FWOS:000182917300007","View Full Record in Web of Science")</f>
        <v>View Full Record in Web of Science</v>
      </c>
    </row>
    <row r="256" spans="1:72" x14ac:dyDescent="0.15">
      <c r="A256" t="s">
        <v>552</v>
      </c>
      <c r="B256" t="s">
        <v>3552</v>
      </c>
      <c r="C256" t="s">
        <v>74</v>
      </c>
      <c r="D256" t="s">
        <v>74</v>
      </c>
      <c r="E256" t="s">
        <v>74</v>
      </c>
      <c r="F256" t="s">
        <v>3552</v>
      </c>
      <c r="G256" t="s">
        <v>74</v>
      </c>
      <c r="H256" t="s">
        <v>74</v>
      </c>
      <c r="I256" t="s">
        <v>3553</v>
      </c>
      <c r="J256" t="s">
        <v>3202</v>
      </c>
      <c r="K256" t="s">
        <v>74</v>
      </c>
      <c r="L256" t="s">
        <v>74</v>
      </c>
      <c r="M256" t="s">
        <v>78</v>
      </c>
      <c r="N256" t="s">
        <v>775</v>
      </c>
      <c r="O256" t="s">
        <v>74</v>
      </c>
      <c r="P256" t="s">
        <v>74</v>
      </c>
      <c r="Q256" t="s">
        <v>74</v>
      </c>
      <c r="R256" t="s">
        <v>74</v>
      </c>
      <c r="S256" t="s">
        <v>74</v>
      </c>
      <c r="T256" t="s">
        <v>3554</v>
      </c>
      <c r="U256" t="s">
        <v>3555</v>
      </c>
      <c r="V256" t="s">
        <v>3556</v>
      </c>
      <c r="W256" t="s">
        <v>301</v>
      </c>
      <c r="X256" t="s">
        <v>302</v>
      </c>
      <c r="Y256" t="s">
        <v>321</v>
      </c>
      <c r="Z256" t="s">
        <v>3557</v>
      </c>
      <c r="AA256" t="s">
        <v>74</v>
      </c>
      <c r="AB256" t="s">
        <v>3558</v>
      </c>
      <c r="AC256" t="s">
        <v>74</v>
      </c>
      <c r="AD256" t="s">
        <v>74</v>
      </c>
      <c r="AE256" t="s">
        <v>74</v>
      </c>
      <c r="AF256" t="s">
        <v>74</v>
      </c>
      <c r="AG256">
        <v>29</v>
      </c>
      <c r="AH256">
        <v>25</v>
      </c>
      <c r="AI256">
        <v>27</v>
      </c>
      <c r="AJ256">
        <v>0</v>
      </c>
      <c r="AK256">
        <v>6</v>
      </c>
      <c r="AL256" t="s">
        <v>3209</v>
      </c>
      <c r="AM256" t="s">
        <v>3210</v>
      </c>
      <c r="AN256" t="s">
        <v>3211</v>
      </c>
      <c r="AO256" t="s">
        <v>3212</v>
      </c>
      <c r="AP256" t="s">
        <v>74</v>
      </c>
      <c r="AQ256" t="s">
        <v>74</v>
      </c>
      <c r="AR256" t="s">
        <v>3214</v>
      </c>
      <c r="AS256" t="s">
        <v>3215</v>
      </c>
      <c r="AT256" t="s">
        <v>74</v>
      </c>
      <c r="AU256">
        <v>2003</v>
      </c>
      <c r="AV256">
        <v>251</v>
      </c>
      <c r="AW256" t="s">
        <v>74</v>
      </c>
      <c r="AX256" t="s">
        <v>74</v>
      </c>
      <c r="AY256" t="s">
        <v>74</v>
      </c>
      <c r="AZ256" t="s">
        <v>74</v>
      </c>
      <c r="BA256" t="s">
        <v>74</v>
      </c>
      <c r="BB256">
        <v>299</v>
      </c>
      <c r="BC256">
        <v>310</v>
      </c>
      <c r="BD256" t="s">
        <v>74</v>
      </c>
      <c r="BE256" t="s">
        <v>3559</v>
      </c>
      <c r="BF256" t="str">
        <f>HYPERLINK("http://dx.doi.org/10.3354/meps251299","http://dx.doi.org/10.3354/meps251299")</f>
        <v>http://dx.doi.org/10.3354/meps251299</v>
      </c>
      <c r="BG256" t="s">
        <v>74</v>
      </c>
      <c r="BH256" t="s">
        <v>74</v>
      </c>
      <c r="BI256">
        <v>12</v>
      </c>
      <c r="BJ256" t="s">
        <v>3217</v>
      </c>
      <c r="BK256" t="s">
        <v>569</v>
      </c>
      <c r="BL256" t="s">
        <v>3218</v>
      </c>
      <c r="BM256" t="s">
        <v>3550</v>
      </c>
      <c r="BN256" t="s">
        <v>74</v>
      </c>
      <c r="BO256" t="s">
        <v>572</v>
      </c>
      <c r="BP256" t="s">
        <v>74</v>
      </c>
      <c r="BQ256" t="s">
        <v>74</v>
      </c>
      <c r="BR256" t="s">
        <v>98</v>
      </c>
      <c r="BS256" t="s">
        <v>3560</v>
      </c>
      <c r="BT256" t="str">
        <f>HYPERLINK("https%3A%2F%2Fwww.webofscience.com%2Fwos%2Fwoscc%2Ffull-record%2FWOS:000182917300025","View Full Record in Web of Science")</f>
        <v>View Full Record in Web of Science</v>
      </c>
    </row>
    <row r="257" spans="1:72" x14ac:dyDescent="0.15">
      <c r="A257" t="s">
        <v>552</v>
      </c>
      <c r="B257" t="s">
        <v>3561</v>
      </c>
      <c r="C257" t="s">
        <v>74</v>
      </c>
      <c r="D257" t="s">
        <v>74</v>
      </c>
      <c r="E257" t="s">
        <v>74</v>
      </c>
      <c r="F257" t="s">
        <v>3561</v>
      </c>
      <c r="G257" t="s">
        <v>74</v>
      </c>
      <c r="H257" t="s">
        <v>74</v>
      </c>
      <c r="I257" t="s">
        <v>3562</v>
      </c>
      <c r="J257" t="s">
        <v>3202</v>
      </c>
      <c r="K257" t="s">
        <v>74</v>
      </c>
      <c r="L257" t="s">
        <v>74</v>
      </c>
      <c r="M257" t="s">
        <v>78</v>
      </c>
      <c r="N257" t="s">
        <v>775</v>
      </c>
      <c r="O257" t="s">
        <v>74</v>
      </c>
      <c r="P257" t="s">
        <v>74</v>
      </c>
      <c r="Q257" t="s">
        <v>74</v>
      </c>
      <c r="R257" t="s">
        <v>74</v>
      </c>
      <c r="S257" t="s">
        <v>74</v>
      </c>
      <c r="T257" t="s">
        <v>3563</v>
      </c>
      <c r="U257" t="s">
        <v>3564</v>
      </c>
      <c r="V257" t="s">
        <v>3565</v>
      </c>
      <c r="W257" t="s">
        <v>3566</v>
      </c>
      <c r="X257" t="s">
        <v>3567</v>
      </c>
      <c r="Y257" t="s">
        <v>3568</v>
      </c>
      <c r="Z257" t="s">
        <v>3569</v>
      </c>
      <c r="AA257" t="s">
        <v>3570</v>
      </c>
      <c r="AB257" t="s">
        <v>3571</v>
      </c>
      <c r="AC257" t="s">
        <v>74</v>
      </c>
      <c r="AD257" t="s">
        <v>74</v>
      </c>
      <c r="AE257" t="s">
        <v>74</v>
      </c>
      <c r="AF257" t="s">
        <v>74</v>
      </c>
      <c r="AG257">
        <v>89</v>
      </c>
      <c r="AH257">
        <v>60</v>
      </c>
      <c r="AI257">
        <v>65</v>
      </c>
      <c r="AJ257">
        <v>0</v>
      </c>
      <c r="AK257">
        <v>15</v>
      </c>
      <c r="AL257" t="s">
        <v>3209</v>
      </c>
      <c r="AM257" t="s">
        <v>3210</v>
      </c>
      <c r="AN257" t="s">
        <v>3211</v>
      </c>
      <c r="AO257" t="s">
        <v>3212</v>
      </c>
      <c r="AP257" t="s">
        <v>74</v>
      </c>
      <c r="AQ257" t="s">
        <v>74</v>
      </c>
      <c r="AR257" t="s">
        <v>3214</v>
      </c>
      <c r="AS257" t="s">
        <v>3215</v>
      </c>
      <c r="AT257" t="s">
        <v>74</v>
      </c>
      <c r="AU257">
        <v>2003</v>
      </c>
      <c r="AV257">
        <v>250</v>
      </c>
      <c r="AW257" t="s">
        <v>74</v>
      </c>
      <c r="AX257" t="s">
        <v>74</v>
      </c>
      <c r="AY257" t="s">
        <v>74</v>
      </c>
      <c r="AZ257" t="s">
        <v>74</v>
      </c>
      <c r="BA257" t="s">
        <v>74</v>
      </c>
      <c r="BB257">
        <v>105</v>
      </c>
      <c r="BC257">
        <v>116</v>
      </c>
      <c r="BD257" t="s">
        <v>74</v>
      </c>
      <c r="BE257" t="s">
        <v>3572</v>
      </c>
      <c r="BF257" t="str">
        <f>HYPERLINK("http://dx.doi.org/10.3354/meps250105","http://dx.doi.org/10.3354/meps250105")</f>
        <v>http://dx.doi.org/10.3354/meps250105</v>
      </c>
      <c r="BG257" t="s">
        <v>74</v>
      </c>
      <c r="BH257" t="s">
        <v>74</v>
      </c>
      <c r="BI257">
        <v>12</v>
      </c>
      <c r="BJ257" t="s">
        <v>3217</v>
      </c>
      <c r="BK257" t="s">
        <v>569</v>
      </c>
      <c r="BL257" t="s">
        <v>3218</v>
      </c>
      <c r="BM257" t="s">
        <v>3573</v>
      </c>
      <c r="BN257" t="s">
        <v>74</v>
      </c>
      <c r="BO257" t="s">
        <v>3510</v>
      </c>
      <c r="BP257" t="s">
        <v>74</v>
      </c>
      <c r="BQ257" t="s">
        <v>74</v>
      </c>
      <c r="BR257" t="s">
        <v>98</v>
      </c>
      <c r="BS257" t="s">
        <v>3574</v>
      </c>
      <c r="BT257" t="str">
        <f>HYPERLINK("https%3A%2F%2Fwww.webofscience.com%2Fwos%2Fwoscc%2Ffull-record%2FWOS:000182851600010","View Full Record in Web of Science")</f>
        <v>View Full Record in Web of Science</v>
      </c>
    </row>
    <row r="258" spans="1:72" x14ac:dyDescent="0.15">
      <c r="A258" t="s">
        <v>552</v>
      </c>
      <c r="B258" t="s">
        <v>3575</v>
      </c>
      <c r="C258" t="s">
        <v>74</v>
      </c>
      <c r="D258" t="s">
        <v>74</v>
      </c>
      <c r="E258" t="s">
        <v>74</v>
      </c>
      <c r="F258" t="s">
        <v>3575</v>
      </c>
      <c r="G258" t="s">
        <v>74</v>
      </c>
      <c r="H258" t="s">
        <v>74</v>
      </c>
      <c r="I258" t="s">
        <v>3576</v>
      </c>
      <c r="J258" t="s">
        <v>3202</v>
      </c>
      <c r="K258" t="s">
        <v>74</v>
      </c>
      <c r="L258" t="s">
        <v>74</v>
      </c>
      <c r="M258" t="s">
        <v>78</v>
      </c>
      <c r="N258" t="s">
        <v>775</v>
      </c>
      <c r="O258" t="s">
        <v>74</v>
      </c>
      <c r="P258" t="s">
        <v>74</v>
      </c>
      <c r="Q258" t="s">
        <v>74</v>
      </c>
      <c r="R258" t="s">
        <v>74</v>
      </c>
      <c r="S258" t="s">
        <v>74</v>
      </c>
      <c r="T258" t="s">
        <v>3577</v>
      </c>
      <c r="U258" t="s">
        <v>3578</v>
      </c>
      <c r="V258" t="s">
        <v>3579</v>
      </c>
      <c r="W258" t="s">
        <v>3580</v>
      </c>
      <c r="X258" t="s">
        <v>3581</v>
      </c>
      <c r="Y258" t="s">
        <v>3582</v>
      </c>
      <c r="Z258" t="s">
        <v>3583</v>
      </c>
      <c r="AA258" t="s">
        <v>3584</v>
      </c>
      <c r="AB258" t="s">
        <v>3585</v>
      </c>
      <c r="AC258" t="s">
        <v>74</v>
      </c>
      <c r="AD258" t="s">
        <v>74</v>
      </c>
      <c r="AE258" t="s">
        <v>74</v>
      </c>
      <c r="AF258" t="s">
        <v>74</v>
      </c>
      <c r="AG258">
        <v>32</v>
      </c>
      <c r="AH258">
        <v>25</v>
      </c>
      <c r="AI258">
        <v>26</v>
      </c>
      <c r="AJ258">
        <v>1</v>
      </c>
      <c r="AK258">
        <v>2</v>
      </c>
      <c r="AL258" t="s">
        <v>3209</v>
      </c>
      <c r="AM258" t="s">
        <v>3210</v>
      </c>
      <c r="AN258" t="s">
        <v>3211</v>
      </c>
      <c r="AO258" t="s">
        <v>3212</v>
      </c>
      <c r="AP258" t="s">
        <v>74</v>
      </c>
      <c r="AQ258" t="s">
        <v>74</v>
      </c>
      <c r="AR258" t="s">
        <v>3214</v>
      </c>
      <c r="AS258" t="s">
        <v>3215</v>
      </c>
      <c r="AT258" t="s">
        <v>74</v>
      </c>
      <c r="AU258">
        <v>2003</v>
      </c>
      <c r="AV258">
        <v>250</v>
      </c>
      <c r="AW258" t="s">
        <v>74</v>
      </c>
      <c r="AX258" t="s">
        <v>74</v>
      </c>
      <c r="AY258" t="s">
        <v>74</v>
      </c>
      <c r="AZ258" t="s">
        <v>74</v>
      </c>
      <c r="BA258" t="s">
        <v>74</v>
      </c>
      <c r="BB258">
        <v>205</v>
      </c>
      <c r="BC258">
        <v>213</v>
      </c>
      <c r="BD258" t="s">
        <v>74</v>
      </c>
      <c r="BE258" t="s">
        <v>3586</v>
      </c>
      <c r="BF258" t="str">
        <f>HYPERLINK("http://dx.doi.org/10.3354/meps250205","http://dx.doi.org/10.3354/meps250205")</f>
        <v>http://dx.doi.org/10.3354/meps250205</v>
      </c>
      <c r="BG258" t="s">
        <v>74</v>
      </c>
      <c r="BH258" t="s">
        <v>74</v>
      </c>
      <c r="BI258">
        <v>9</v>
      </c>
      <c r="BJ258" t="s">
        <v>3217</v>
      </c>
      <c r="BK258" t="s">
        <v>569</v>
      </c>
      <c r="BL258" t="s">
        <v>3218</v>
      </c>
      <c r="BM258" t="s">
        <v>3573</v>
      </c>
      <c r="BN258" t="s">
        <v>74</v>
      </c>
      <c r="BO258" t="s">
        <v>572</v>
      </c>
      <c r="BP258" t="s">
        <v>74</v>
      </c>
      <c r="BQ258" t="s">
        <v>74</v>
      </c>
      <c r="BR258" t="s">
        <v>98</v>
      </c>
      <c r="BS258" t="s">
        <v>3587</v>
      </c>
      <c r="BT258" t="str">
        <f>HYPERLINK("https%3A%2F%2Fwww.webofscience.com%2Fwos%2Fwoscc%2Ffull-record%2FWOS:000182851600019","View Full Record in Web of Science")</f>
        <v>View Full Record in Web of Science</v>
      </c>
    </row>
    <row r="259" spans="1:72" x14ac:dyDescent="0.15">
      <c r="A259" t="s">
        <v>552</v>
      </c>
      <c r="B259" t="s">
        <v>3588</v>
      </c>
      <c r="C259" t="s">
        <v>74</v>
      </c>
      <c r="D259" t="s">
        <v>74</v>
      </c>
      <c r="E259" t="s">
        <v>74</v>
      </c>
      <c r="F259" t="s">
        <v>3588</v>
      </c>
      <c r="G259" t="s">
        <v>74</v>
      </c>
      <c r="H259" t="s">
        <v>74</v>
      </c>
      <c r="I259" t="s">
        <v>3589</v>
      </c>
      <c r="J259" t="s">
        <v>3202</v>
      </c>
      <c r="K259" t="s">
        <v>74</v>
      </c>
      <c r="L259" t="s">
        <v>74</v>
      </c>
      <c r="M259" t="s">
        <v>78</v>
      </c>
      <c r="N259" t="s">
        <v>775</v>
      </c>
      <c r="O259" t="s">
        <v>74</v>
      </c>
      <c r="P259" t="s">
        <v>74</v>
      </c>
      <c r="Q259" t="s">
        <v>74</v>
      </c>
      <c r="R259" t="s">
        <v>74</v>
      </c>
      <c r="S259" t="s">
        <v>74</v>
      </c>
      <c r="T259" t="s">
        <v>3590</v>
      </c>
      <c r="U259" t="s">
        <v>3591</v>
      </c>
      <c r="V259" t="s">
        <v>3592</v>
      </c>
      <c r="W259" t="s">
        <v>3593</v>
      </c>
      <c r="X259" t="s">
        <v>3594</v>
      </c>
      <c r="Y259" t="s">
        <v>489</v>
      </c>
      <c r="Z259" t="s">
        <v>3595</v>
      </c>
      <c r="AA259" t="s">
        <v>74</v>
      </c>
      <c r="AB259" t="s">
        <v>3596</v>
      </c>
      <c r="AC259" t="s">
        <v>74</v>
      </c>
      <c r="AD259" t="s">
        <v>74</v>
      </c>
      <c r="AE259" t="s">
        <v>74</v>
      </c>
      <c r="AF259" t="s">
        <v>74</v>
      </c>
      <c r="AG259">
        <v>49</v>
      </c>
      <c r="AH259">
        <v>57</v>
      </c>
      <c r="AI259">
        <v>59</v>
      </c>
      <c r="AJ259">
        <v>1</v>
      </c>
      <c r="AK259">
        <v>27</v>
      </c>
      <c r="AL259" t="s">
        <v>3209</v>
      </c>
      <c r="AM259" t="s">
        <v>3210</v>
      </c>
      <c r="AN259" t="s">
        <v>3211</v>
      </c>
      <c r="AO259" t="s">
        <v>3212</v>
      </c>
      <c r="AP259" t="s">
        <v>3213</v>
      </c>
      <c r="AQ259" t="s">
        <v>74</v>
      </c>
      <c r="AR259" t="s">
        <v>3214</v>
      </c>
      <c r="AS259" t="s">
        <v>3215</v>
      </c>
      <c r="AT259" t="s">
        <v>74</v>
      </c>
      <c r="AU259">
        <v>2003</v>
      </c>
      <c r="AV259">
        <v>250</v>
      </c>
      <c r="AW259" t="s">
        <v>74</v>
      </c>
      <c r="AX259" t="s">
        <v>74</v>
      </c>
      <c r="AY259" t="s">
        <v>74</v>
      </c>
      <c r="AZ259" t="s">
        <v>74</v>
      </c>
      <c r="BA259" t="s">
        <v>74</v>
      </c>
      <c r="BB259">
        <v>279</v>
      </c>
      <c r="BC259">
        <v>289</v>
      </c>
      <c r="BD259" t="s">
        <v>74</v>
      </c>
      <c r="BE259" t="s">
        <v>3597</v>
      </c>
      <c r="BF259" t="str">
        <f>HYPERLINK("http://dx.doi.org/10.3354/meps250279","http://dx.doi.org/10.3354/meps250279")</f>
        <v>http://dx.doi.org/10.3354/meps250279</v>
      </c>
      <c r="BG259" t="s">
        <v>74</v>
      </c>
      <c r="BH259" t="s">
        <v>74</v>
      </c>
      <c r="BI259">
        <v>11</v>
      </c>
      <c r="BJ259" t="s">
        <v>3217</v>
      </c>
      <c r="BK259" t="s">
        <v>569</v>
      </c>
      <c r="BL259" t="s">
        <v>3218</v>
      </c>
      <c r="BM259" t="s">
        <v>3573</v>
      </c>
      <c r="BN259" t="s">
        <v>74</v>
      </c>
      <c r="BO259" t="s">
        <v>3274</v>
      </c>
      <c r="BP259" t="s">
        <v>74</v>
      </c>
      <c r="BQ259" t="s">
        <v>74</v>
      </c>
      <c r="BR259" t="s">
        <v>98</v>
      </c>
      <c r="BS259" t="s">
        <v>3598</v>
      </c>
      <c r="BT259" t="str">
        <f>HYPERLINK("https%3A%2F%2Fwww.webofscience.com%2Fwos%2Fwoscc%2Ffull-record%2FWOS:000182851600024","View Full Record in Web of Science")</f>
        <v>View Full Record in Web of Science</v>
      </c>
    </row>
    <row r="260" spans="1:72" x14ac:dyDescent="0.15">
      <c r="A260" t="s">
        <v>552</v>
      </c>
      <c r="B260" t="s">
        <v>3599</v>
      </c>
      <c r="C260" t="s">
        <v>74</v>
      </c>
      <c r="D260" t="s">
        <v>74</v>
      </c>
      <c r="E260" t="s">
        <v>74</v>
      </c>
      <c r="F260" t="s">
        <v>3599</v>
      </c>
      <c r="G260" t="s">
        <v>74</v>
      </c>
      <c r="H260" t="s">
        <v>74</v>
      </c>
      <c r="I260" t="s">
        <v>3600</v>
      </c>
      <c r="J260" t="s">
        <v>3202</v>
      </c>
      <c r="K260" t="s">
        <v>74</v>
      </c>
      <c r="L260" t="s">
        <v>74</v>
      </c>
      <c r="M260" t="s">
        <v>78</v>
      </c>
      <c r="N260" t="s">
        <v>775</v>
      </c>
      <c r="O260" t="s">
        <v>74</v>
      </c>
      <c r="P260" t="s">
        <v>74</v>
      </c>
      <c r="Q260" t="s">
        <v>74</v>
      </c>
      <c r="R260" t="s">
        <v>74</v>
      </c>
      <c r="S260" t="s">
        <v>74</v>
      </c>
      <c r="T260" t="s">
        <v>3601</v>
      </c>
      <c r="U260" t="s">
        <v>3602</v>
      </c>
      <c r="V260" t="s">
        <v>3603</v>
      </c>
      <c r="W260" t="s">
        <v>3604</v>
      </c>
      <c r="X260" t="s">
        <v>3605</v>
      </c>
      <c r="Y260" t="s">
        <v>3606</v>
      </c>
      <c r="Z260" t="s">
        <v>3607</v>
      </c>
      <c r="AA260" t="s">
        <v>3608</v>
      </c>
      <c r="AB260" t="s">
        <v>3609</v>
      </c>
      <c r="AC260" t="s">
        <v>74</v>
      </c>
      <c r="AD260" t="s">
        <v>74</v>
      </c>
      <c r="AE260" t="s">
        <v>74</v>
      </c>
      <c r="AF260" t="s">
        <v>74</v>
      </c>
      <c r="AG260">
        <v>75</v>
      </c>
      <c r="AH260">
        <v>14</v>
      </c>
      <c r="AI260">
        <v>15</v>
      </c>
      <c r="AJ260">
        <v>1</v>
      </c>
      <c r="AK260">
        <v>5</v>
      </c>
      <c r="AL260" t="s">
        <v>3209</v>
      </c>
      <c r="AM260" t="s">
        <v>3210</v>
      </c>
      <c r="AN260" t="s">
        <v>3211</v>
      </c>
      <c r="AO260" t="s">
        <v>3212</v>
      </c>
      <c r="AP260" t="s">
        <v>74</v>
      </c>
      <c r="AQ260" t="s">
        <v>74</v>
      </c>
      <c r="AR260" t="s">
        <v>3214</v>
      </c>
      <c r="AS260" t="s">
        <v>3215</v>
      </c>
      <c r="AT260" t="s">
        <v>74</v>
      </c>
      <c r="AU260">
        <v>2003</v>
      </c>
      <c r="AV260">
        <v>249</v>
      </c>
      <c r="AW260" t="s">
        <v>74</v>
      </c>
      <c r="AX260" t="s">
        <v>74</v>
      </c>
      <c r="AY260" t="s">
        <v>74</v>
      </c>
      <c r="AZ260" t="s">
        <v>74</v>
      </c>
      <c r="BA260" t="s">
        <v>74</v>
      </c>
      <c r="BB260">
        <v>1</v>
      </c>
      <c r="BC260">
        <v>14</v>
      </c>
      <c r="BD260" t="s">
        <v>74</v>
      </c>
      <c r="BE260" t="s">
        <v>3610</v>
      </c>
      <c r="BF260" t="str">
        <f>HYPERLINK("http://dx.doi.org/10.3354/meps249001","http://dx.doi.org/10.3354/meps249001")</f>
        <v>http://dx.doi.org/10.3354/meps249001</v>
      </c>
      <c r="BG260" t="s">
        <v>74</v>
      </c>
      <c r="BH260" t="s">
        <v>74</v>
      </c>
      <c r="BI260">
        <v>14</v>
      </c>
      <c r="BJ260" t="s">
        <v>3217</v>
      </c>
      <c r="BK260" t="s">
        <v>569</v>
      </c>
      <c r="BL260" t="s">
        <v>3218</v>
      </c>
      <c r="BM260" t="s">
        <v>3611</v>
      </c>
      <c r="BN260" t="s">
        <v>74</v>
      </c>
      <c r="BO260" t="s">
        <v>3510</v>
      </c>
      <c r="BP260" t="s">
        <v>74</v>
      </c>
      <c r="BQ260" t="s">
        <v>74</v>
      </c>
      <c r="BR260" t="s">
        <v>98</v>
      </c>
      <c r="BS260" t="s">
        <v>3612</v>
      </c>
      <c r="BT260" t="str">
        <f>HYPERLINK("https%3A%2F%2Fwww.webofscience.com%2Fwos%2Fwoscc%2Ffull-record%2FWOS:000182086100001","View Full Record in Web of Science")</f>
        <v>View Full Record in Web of Science</v>
      </c>
    </row>
    <row r="261" spans="1:72" x14ac:dyDescent="0.15">
      <c r="A261" t="s">
        <v>552</v>
      </c>
      <c r="B261" t="s">
        <v>3613</v>
      </c>
      <c r="C261" t="s">
        <v>74</v>
      </c>
      <c r="D261" t="s">
        <v>74</v>
      </c>
      <c r="E261" t="s">
        <v>74</v>
      </c>
      <c r="F261" t="s">
        <v>3613</v>
      </c>
      <c r="G261" t="s">
        <v>74</v>
      </c>
      <c r="H261" t="s">
        <v>74</v>
      </c>
      <c r="I261" t="s">
        <v>3614</v>
      </c>
      <c r="J261" t="s">
        <v>3202</v>
      </c>
      <c r="K261" t="s">
        <v>74</v>
      </c>
      <c r="L261" t="s">
        <v>74</v>
      </c>
      <c r="M261" t="s">
        <v>78</v>
      </c>
      <c r="N261" t="s">
        <v>775</v>
      </c>
      <c r="O261" t="s">
        <v>74</v>
      </c>
      <c r="P261" t="s">
        <v>74</v>
      </c>
      <c r="Q261" t="s">
        <v>74</v>
      </c>
      <c r="R261" t="s">
        <v>74</v>
      </c>
      <c r="S261" t="s">
        <v>74</v>
      </c>
      <c r="T261" t="s">
        <v>3615</v>
      </c>
      <c r="U261" t="s">
        <v>3616</v>
      </c>
      <c r="V261" t="s">
        <v>3617</v>
      </c>
      <c r="W261" t="s">
        <v>3618</v>
      </c>
      <c r="X261" t="s">
        <v>239</v>
      </c>
      <c r="Y261" t="s">
        <v>3619</v>
      </c>
      <c r="Z261" t="s">
        <v>3283</v>
      </c>
      <c r="AA261" t="s">
        <v>74</v>
      </c>
      <c r="AB261" t="s">
        <v>74</v>
      </c>
      <c r="AC261" t="s">
        <v>74</v>
      </c>
      <c r="AD261" t="s">
        <v>74</v>
      </c>
      <c r="AE261" t="s">
        <v>74</v>
      </c>
      <c r="AF261" t="s">
        <v>74</v>
      </c>
      <c r="AG261">
        <v>66</v>
      </c>
      <c r="AH261">
        <v>78</v>
      </c>
      <c r="AI261">
        <v>83</v>
      </c>
      <c r="AJ261">
        <v>3</v>
      </c>
      <c r="AK261">
        <v>29</v>
      </c>
      <c r="AL261" t="s">
        <v>3209</v>
      </c>
      <c r="AM261" t="s">
        <v>3210</v>
      </c>
      <c r="AN261" t="s">
        <v>3211</v>
      </c>
      <c r="AO261" t="s">
        <v>3212</v>
      </c>
      <c r="AP261" t="s">
        <v>74</v>
      </c>
      <c r="AQ261" t="s">
        <v>74</v>
      </c>
      <c r="AR261" t="s">
        <v>3214</v>
      </c>
      <c r="AS261" t="s">
        <v>3215</v>
      </c>
      <c r="AT261" t="s">
        <v>74</v>
      </c>
      <c r="AU261">
        <v>2003</v>
      </c>
      <c r="AV261">
        <v>249</v>
      </c>
      <c r="AW261" t="s">
        <v>74</v>
      </c>
      <c r="AX261" t="s">
        <v>74</v>
      </c>
      <c r="AY261" t="s">
        <v>74</v>
      </c>
      <c r="AZ261" t="s">
        <v>74</v>
      </c>
      <c r="BA261" t="s">
        <v>74</v>
      </c>
      <c r="BB261">
        <v>145</v>
      </c>
      <c r="BC261">
        <v>155</v>
      </c>
      <c r="BD261" t="s">
        <v>74</v>
      </c>
      <c r="BE261" t="s">
        <v>3620</v>
      </c>
      <c r="BF261" t="str">
        <f>HYPERLINK("http://dx.doi.org/10.3354/meps249145","http://dx.doi.org/10.3354/meps249145")</f>
        <v>http://dx.doi.org/10.3354/meps249145</v>
      </c>
      <c r="BG261" t="s">
        <v>74</v>
      </c>
      <c r="BH261" t="s">
        <v>74</v>
      </c>
      <c r="BI261">
        <v>11</v>
      </c>
      <c r="BJ261" t="s">
        <v>3217</v>
      </c>
      <c r="BK261" t="s">
        <v>569</v>
      </c>
      <c r="BL261" t="s">
        <v>3218</v>
      </c>
      <c r="BM261" t="s">
        <v>3611</v>
      </c>
      <c r="BN261" t="s">
        <v>74</v>
      </c>
      <c r="BO261" t="s">
        <v>3274</v>
      </c>
      <c r="BP261" t="s">
        <v>74</v>
      </c>
      <c r="BQ261" t="s">
        <v>74</v>
      </c>
      <c r="BR261" t="s">
        <v>98</v>
      </c>
      <c r="BS261" t="s">
        <v>3621</v>
      </c>
      <c r="BT261" t="str">
        <f>HYPERLINK("https%3A%2F%2Fwww.webofscience.com%2Fwos%2Fwoscc%2Ffull-record%2FWOS:000182086100012","View Full Record in Web of Science")</f>
        <v>View Full Record in Web of Science</v>
      </c>
    </row>
    <row r="262" spans="1:72" x14ac:dyDescent="0.15">
      <c r="A262" t="s">
        <v>552</v>
      </c>
      <c r="B262" t="s">
        <v>3622</v>
      </c>
      <c r="C262" t="s">
        <v>74</v>
      </c>
      <c r="D262" t="s">
        <v>74</v>
      </c>
      <c r="E262" t="s">
        <v>74</v>
      </c>
      <c r="F262" t="s">
        <v>3622</v>
      </c>
      <c r="G262" t="s">
        <v>74</v>
      </c>
      <c r="H262" t="s">
        <v>74</v>
      </c>
      <c r="I262" t="s">
        <v>3623</v>
      </c>
      <c r="J262" t="s">
        <v>3202</v>
      </c>
      <c r="K262" t="s">
        <v>74</v>
      </c>
      <c r="L262" t="s">
        <v>74</v>
      </c>
      <c r="M262" t="s">
        <v>78</v>
      </c>
      <c r="N262" t="s">
        <v>775</v>
      </c>
      <c r="O262" t="s">
        <v>74</v>
      </c>
      <c r="P262" t="s">
        <v>74</v>
      </c>
      <c r="Q262" t="s">
        <v>74</v>
      </c>
      <c r="R262" t="s">
        <v>74</v>
      </c>
      <c r="S262" t="s">
        <v>74</v>
      </c>
      <c r="T262" t="s">
        <v>3624</v>
      </c>
      <c r="U262" t="s">
        <v>3625</v>
      </c>
      <c r="V262" t="s">
        <v>3626</v>
      </c>
      <c r="W262" t="s">
        <v>3627</v>
      </c>
      <c r="X262" t="s">
        <v>3628</v>
      </c>
      <c r="Y262" t="s">
        <v>3629</v>
      </c>
      <c r="Z262" t="s">
        <v>3630</v>
      </c>
      <c r="AA262" t="s">
        <v>3631</v>
      </c>
      <c r="AB262" t="s">
        <v>74</v>
      </c>
      <c r="AC262" t="s">
        <v>74</v>
      </c>
      <c r="AD262" t="s">
        <v>74</v>
      </c>
      <c r="AE262" t="s">
        <v>74</v>
      </c>
      <c r="AF262" t="s">
        <v>74</v>
      </c>
      <c r="AG262">
        <v>52</v>
      </c>
      <c r="AH262">
        <v>28</v>
      </c>
      <c r="AI262">
        <v>35</v>
      </c>
      <c r="AJ262">
        <v>0</v>
      </c>
      <c r="AK262">
        <v>12</v>
      </c>
      <c r="AL262" t="s">
        <v>3209</v>
      </c>
      <c r="AM262" t="s">
        <v>3210</v>
      </c>
      <c r="AN262" t="s">
        <v>3211</v>
      </c>
      <c r="AO262" t="s">
        <v>3212</v>
      </c>
      <c r="AP262" t="s">
        <v>3213</v>
      </c>
      <c r="AQ262" t="s">
        <v>74</v>
      </c>
      <c r="AR262" t="s">
        <v>3214</v>
      </c>
      <c r="AS262" t="s">
        <v>3215</v>
      </c>
      <c r="AT262" t="s">
        <v>74</v>
      </c>
      <c r="AU262">
        <v>2003</v>
      </c>
      <c r="AV262">
        <v>248</v>
      </c>
      <c r="AW262" t="s">
        <v>74</v>
      </c>
      <c r="AX262" t="s">
        <v>74</v>
      </c>
      <c r="AY262" t="s">
        <v>74</v>
      </c>
      <c r="AZ262" t="s">
        <v>74</v>
      </c>
      <c r="BA262" t="s">
        <v>74</v>
      </c>
      <c r="BB262">
        <v>257</v>
      </c>
      <c r="BC262">
        <v>266</v>
      </c>
      <c r="BD262" t="s">
        <v>74</v>
      </c>
      <c r="BE262" t="s">
        <v>3632</v>
      </c>
      <c r="BF262" t="str">
        <f>HYPERLINK("http://dx.doi.org/10.3354/meps248257","http://dx.doi.org/10.3354/meps248257")</f>
        <v>http://dx.doi.org/10.3354/meps248257</v>
      </c>
      <c r="BG262" t="s">
        <v>74</v>
      </c>
      <c r="BH262" t="s">
        <v>74</v>
      </c>
      <c r="BI262">
        <v>10</v>
      </c>
      <c r="BJ262" t="s">
        <v>3217</v>
      </c>
      <c r="BK262" t="s">
        <v>569</v>
      </c>
      <c r="BL262" t="s">
        <v>3218</v>
      </c>
      <c r="BM262" t="s">
        <v>3633</v>
      </c>
      <c r="BN262" t="s">
        <v>74</v>
      </c>
      <c r="BO262" t="s">
        <v>572</v>
      </c>
      <c r="BP262" t="s">
        <v>74</v>
      </c>
      <c r="BQ262" t="s">
        <v>74</v>
      </c>
      <c r="BR262" t="s">
        <v>98</v>
      </c>
      <c r="BS262" t="s">
        <v>3634</v>
      </c>
      <c r="BT262" t="str">
        <f>HYPERLINK("https%3A%2F%2Fwww.webofscience.com%2Fwos%2Fwoscc%2Ffull-record%2FWOS:000181769500020","View Full Record in Web of Science")</f>
        <v>View Full Record in Web of Science</v>
      </c>
    </row>
    <row r="263" spans="1:72" x14ac:dyDescent="0.15">
      <c r="A263" t="s">
        <v>552</v>
      </c>
      <c r="B263" t="s">
        <v>3635</v>
      </c>
      <c r="C263" t="s">
        <v>74</v>
      </c>
      <c r="D263" t="s">
        <v>74</v>
      </c>
      <c r="E263" t="s">
        <v>74</v>
      </c>
      <c r="F263" t="s">
        <v>3635</v>
      </c>
      <c r="G263" t="s">
        <v>74</v>
      </c>
      <c r="H263" t="s">
        <v>74</v>
      </c>
      <c r="I263" t="s">
        <v>3636</v>
      </c>
      <c r="J263" t="s">
        <v>3202</v>
      </c>
      <c r="K263" t="s">
        <v>74</v>
      </c>
      <c r="L263" t="s">
        <v>74</v>
      </c>
      <c r="M263" t="s">
        <v>78</v>
      </c>
      <c r="N263" t="s">
        <v>775</v>
      </c>
      <c r="O263" t="s">
        <v>74</v>
      </c>
      <c r="P263" t="s">
        <v>74</v>
      </c>
      <c r="Q263" t="s">
        <v>74</v>
      </c>
      <c r="R263" t="s">
        <v>74</v>
      </c>
      <c r="S263" t="s">
        <v>74</v>
      </c>
      <c r="T263" t="s">
        <v>3637</v>
      </c>
      <c r="U263" t="s">
        <v>3638</v>
      </c>
      <c r="V263" t="s">
        <v>3639</v>
      </c>
      <c r="W263" t="s">
        <v>3640</v>
      </c>
      <c r="X263" t="s">
        <v>3641</v>
      </c>
      <c r="Y263" t="s">
        <v>1051</v>
      </c>
      <c r="Z263" t="s">
        <v>1052</v>
      </c>
      <c r="AA263" t="s">
        <v>74</v>
      </c>
      <c r="AB263" t="s">
        <v>74</v>
      </c>
      <c r="AC263" t="s">
        <v>74</v>
      </c>
      <c r="AD263" t="s">
        <v>74</v>
      </c>
      <c r="AE263" t="s">
        <v>74</v>
      </c>
      <c r="AF263" t="s">
        <v>74</v>
      </c>
      <c r="AG263">
        <v>46</v>
      </c>
      <c r="AH263">
        <v>51</v>
      </c>
      <c r="AI263">
        <v>56</v>
      </c>
      <c r="AJ263">
        <v>3</v>
      </c>
      <c r="AK263">
        <v>24</v>
      </c>
      <c r="AL263" t="s">
        <v>3209</v>
      </c>
      <c r="AM263" t="s">
        <v>3210</v>
      </c>
      <c r="AN263" t="s">
        <v>3211</v>
      </c>
      <c r="AO263" t="s">
        <v>3212</v>
      </c>
      <c r="AP263" t="s">
        <v>74</v>
      </c>
      <c r="AQ263" t="s">
        <v>74</v>
      </c>
      <c r="AR263" t="s">
        <v>3214</v>
      </c>
      <c r="AS263" t="s">
        <v>3215</v>
      </c>
      <c r="AT263" t="s">
        <v>74</v>
      </c>
      <c r="AU263">
        <v>2003</v>
      </c>
      <c r="AV263">
        <v>248</v>
      </c>
      <c r="AW263" t="s">
        <v>74</v>
      </c>
      <c r="AX263" t="s">
        <v>74</v>
      </c>
      <c r="AY263" t="s">
        <v>74</v>
      </c>
      <c r="AZ263" t="s">
        <v>74</v>
      </c>
      <c r="BA263" t="s">
        <v>74</v>
      </c>
      <c r="BB263">
        <v>267</v>
      </c>
      <c r="BC263">
        <v>278</v>
      </c>
      <c r="BD263" t="s">
        <v>74</v>
      </c>
      <c r="BE263" t="s">
        <v>3642</v>
      </c>
      <c r="BF263" t="str">
        <f>HYPERLINK("http://dx.doi.org/10.3354/meps248267","http://dx.doi.org/10.3354/meps248267")</f>
        <v>http://dx.doi.org/10.3354/meps248267</v>
      </c>
      <c r="BG263" t="s">
        <v>74</v>
      </c>
      <c r="BH263" t="s">
        <v>74</v>
      </c>
      <c r="BI263">
        <v>12</v>
      </c>
      <c r="BJ263" t="s">
        <v>3217</v>
      </c>
      <c r="BK263" t="s">
        <v>569</v>
      </c>
      <c r="BL263" t="s">
        <v>3218</v>
      </c>
      <c r="BM263" t="s">
        <v>3633</v>
      </c>
      <c r="BN263" t="s">
        <v>74</v>
      </c>
      <c r="BO263" t="s">
        <v>572</v>
      </c>
      <c r="BP263" t="s">
        <v>74</v>
      </c>
      <c r="BQ263" t="s">
        <v>74</v>
      </c>
      <c r="BR263" t="s">
        <v>98</v>
      </c>
      <c r="BS263" t="s">
        <v>3643</v>
      </c>
      <c r="BT263" t="str">
        <f>HYPERLINK("https%3A%2F%2Fwww.webofscience.com%2Fwos%2Fwoscc%2Ffull-record%2FWOS:000181769500021","View Full Record in Web of Science")</f>
        <v>View Full Record in Web of Science</v>
      </c>
    </row>
    <row r="264" spans="1:72" x14ac:dyDescent="0.15">
      <c r="A264" t="s">
        <v>552</v>
      </c>
      <c r="B264" t="s">
        <v>3644</v>
      </c>
      <c r="C264" t="s">
        <v>74</v>
      </c>
      <c r="D264" t="s">
        <v>74</v>
      </c>
      <c r="E264" t="s">
        <v>74</v>
      </c>
      <c r="F264" t="s">
        <v>3644</v>
      </c>
      <c r="G264" t="s">
        <v>74</v>
      </c>
      <c r="H264" t="s">
        <v>74</v>
      </c>
      <c r="I264" t="s">
        <v>3645</v>
      </c>
      <c r="J264" t="s">
        <v>3202</v>
      </c>
      <c r="K264" t="s">
        <v>74</v>
      </c>
      <c r="L264" t="s">
        <v>74</v>
      </c>
      <c r="M264" t="s">
        <v>78</v>
      </c>
      <c r="N264" t="s">
        <v>775</v>
      </c>
      <c r="O264" t="s">
        <v>74</v>
      </c>
      <c r="P264" t="s">
        <v>74</v>
      </c>
      <c r="Q264" t="s">
        <v>74</v>
      </c>
      <c r="R264" t="s">
        <v>74</v>
      </c>
      <c r="S264" t="s">
        <v>74</v>
      </c>
      <c r="T264" t="s">
        <v>3646</v>
      </c>
      <c r="U264" t="s">
        <v>3647</v>
      </c>
      <c r="V264" t="s">
        <v>3648</v>
      </c>
      <c r="W264" t="s">
        <v>3649</v>
      </c>
      <c r="X264" t="s">
        <v>3650</v>
      </c>
      <c r="Y264" t="s">
        <v>3651</v>
      </c>
      <c r="Z264" t="s">
        <v>3295</v>
      </c>
      <c r="AA264" t="s">
        <v>74</v>
      </c>
      <c r="AB264" t="s">
        <v>3652</v>
      </c>
      <c r="AC264" t="s">
        <v>74</v>
      </c>
      <c r="AD264" t="s">
        <v>74</v>
      </c>
      <c r="AE264" t="s">
        <v>74</v>
      </c>
      <c r="AF264" t="s">
        <v>74</v>
      </c>
      <c r="AG264">
        <v>64</v>
      </c>
      <c r="AH264">
        <v>93</v>
      </c>
      <c r="AI264">
        <v>102</v>
      </c>
      <c r="AJ264">
        <v>1</v>
      </c>
      <c r="AK264">
        <v>26</v>
      </c>
      <c r="AL264" t="s">
        <v>3209</v>
      </c>
      <c r="AM264" t="s">
        <v>3210</v>
      </c>
      <c r="AN264" t="s">
        <v>3211</v>
      </c>
      <c r="AO264" t="s">
        <v>3212</v>
      </c>
      <c r="AP264" t="s">
        <v>3213</v>
      </c>
      <c r="AQ264" t="s">
        <v>74</v>
      </c>
      <c r="AR264" t="s">
        <v>3214</v>
      </c>
      <c r="AS264" t="s">
        <v>3215</v>
      </c>
      <c r="AT264" t="s">
        <v>74</v>
      </c>
      <c r="AU264">
        <v>2003</v>
      </c>
      <c r="AV264">
        <v>247</v>
      </c>
      <c r="AW264" t="s">
        <v>74</v>
      </c>
      <c r="AX264" t="s">
        <v>74</v>
      </c>
      <c r="AY264" t="s">
        <v>74</v>
      </c>
      <c r="AZ264" t="s">
        <v>74</v>
      </c>
      <c r="BA264" t="s">
        <v>74</v>
      </c>
      <c r="BB264">
        <v>27</v>
      </c>
      <c r="BC264">
        <v>42</v>
      </c>
      <c r="BD264" t="s">
        <v>74</v>
      </c>
      <c r="BE264" t="s">
        <v>3653</v>
      </c>
      <c r="BF264" t="str">
        <f>HYPERLINK("http://dx.doi.org/10.3354/meps247027","http://dx.doi.org/10.3354/meps247027")</f>
        <v>http://dx.doi.org/10.3354/meps247027</v>
      </c>
      <c r="BG264" t="s">
        <v>74</v>
      </c>
      <c r="BH264" t="s">
        <v>74</v>
      </c>
      <c r="BI264">
        <v>16</v>
      </c>
      <c r="BJ264" t="s">
        <v>3217</v>
      </c>
      <c r="BK264" t="s">
        <v>569</v>
      </c>
      <c r="BL264" t="s">
        <v>3218</v>
      </c>
      <c r="BM264" t="s">
        <v>3654</v>
      </c>
      <c r="BN264" t="s">
        <v>74</v>
      </c>
      <c r="BO264" t="s">
        <v>3298</v>
      </c>
      <c r="BP264" t="s">
        <v>74</v>
      </c>
      <c r="BQ264" t="s">
        <v>74</v>
      </c>
      <c r="BR264" t="s">
        <v>98</v>
      </c>
      <c r="BS264" t="s">
        <v>3655</v>
      </c>
      <c r="BT264" t="str">
        <f>HYPERLINK("https%3A%2F%2Fwww.webofscience.com%2Fwos%2Fwoscc%2Ffull-record%2FWOS:000181318700003","View Full Record in Web of Science")</f>
        <v>View Full Record in Web of Science</v>
      </c>
    </row>
    <row r="265" spans="1:72" x14ac:dyDescent="0.15">
      <c r="A265" t="s">
        <v>552</v>
      </c>
      <c r="B265" t="s">
        <v>3656</v>
      </c>
      <c r="C265" t="s">
        <v>74</v>
      </c>
      <c r="D265" t="s">
        <v>74</v>
      </c>
      <c r="E265" t="s">
        <v>74</v>
      </c>
      <c r="F265" t="s">
        <v>3656</v>
      </c>
      <c r="G265" t="s">
        <v>74</v>
      </c>
      <c r="H265" t="s">
        <v>74</v>
      </c>
      <c r="I265" t="s">
        <v>3657</v>
      </c>
      <c r="J265" t="s">
        <v>3202</v>
      </c>
      <c r="K265" t="s">
        <v>74</v>
      </c>
      <c r="L265" t="s">
        <v>74</v>
      </c>
      <c r="M265" t="s">
        <v>78</v>
      </c>
      <c r="N265" t="s">
        <v>775</v>
      </c>
      <c r="O265" t="s">
        <v>74</v>
      </c>
      <c r="P265" t="s">
        <v>74</v>
      </c>
      <c r="Q265" t="s">
        <v>74</v>
      </c>
      <c r="R265" t="s">
        <v>74</v>
      </c>
      <c r="S265" t="s">
        <v>74</v>
      </c>
      <c r="T265" t="s">
        <v>3658</v>
      </c>
      <c r="U265" t="s">
        <v>3659</v>
      </c>
      <c r="V265" t="s">
        <v>3660</v>
      </c>
      <c r="W265" t="s">
        <v>3661</v>
      </c>
      <c r="X265" t="s">
        <v>3662</v>
      </c>
      <c r="Y265" t="s">
        <v>3663</v>
      </c>
      <c r="Z265" t="s">
        <v>3283</v>
      </c>
      <c r="AA265" t="s">
        <v>74</v>
      </c>
      <c r="AB265" t="s">
        <v>74</v>
      </c>
      <c r="AC265" t="s">
        <v>74</v>
      </c>
      <c r="AD265" t="s">
        <v>74</v>
      </c>
      <c r="AE265" t="s">
        <v>74</v>
      </c>
      <c r="AF265" t="s">
        <v>74</v>
      </c>
      <c r="AG265">
        <v>60</v>
      </c>
      <c r="AH265">
        <v>12</v>
      </c>
      <c r="AI265">
        <v>13</v>
      </c>
      <c r="AJ265">
        <v>4</v>
      </c>
      <c r="AK265">
        <v>10</v>
      </c>
      <c r="AL265" t="s">
        <v>3209</v>
      </c>
      <c r="AM265" t="s">
        <v>3210</v>
      </c>
      <c r="AN265" t="s">
        <v>3211</v>
      </c>
      <c r="AO265" t="s">
        <v>3212</v>
      </c>
      <c r="AP265" t="s">
        <v>74</v>
      </c>
      <c r="AQ265" t="s">
        <v>74</v>
      </c>
      <c r="AR265" t="s">
        <v>3214</v>
      </c>
      <c r="AS265" t="s">
        <v>3215</v>
      </c>
      <c r="AT265" t="s">
        <v>74</v>
      </c>
      <c r="AU265">
        <v>2003</v>
      </c>
      <c r="AV265">
        <v>246</v>
      </c>
      <c r="AW265" t="s">
        <v>74</v>
      </c>
      <c r="AX265" t="s">
        <v>74</v>
      </c>
      <c r="AY265" t="s">
        <v>74</v>
      </c>
      <c r="AZ265" t="s">
        <v>74</v>
      </c>
      <c r="BA265" t="s">
        <v>74</v>
      </c>
      <c r="BB265">
        <v>211</v>
      </c>
      <c r="BC265">
        <v>223</v>
      </c>
      <c r="BD265" t="s">
        <v>74</v>
      </c>
      <c r="BE265" t="s">
        <v>3664</v>
      </c>
      <c r="BF265" t="str">
        <f>HYPERLINK("http://dx.doi.org/10.3354/meps246211","http://dx.doi.org/10.3354/meps246211")</f>
        <v>http://dx.doi.org/10.3354/meps246211</v>
      </c>
      <c r="BG265" t="s">
        <v>74</v>
      </c>
      <c r="BH265" t="s">
        <v>74</v>
      </c>
      <c r="BI265">
        <v>13</v>
      </c>
      <c r="BJ265" t="s">
        <v>3217</v>
      </c>
      <c r="BK265" t="s">
        <v>569</v>
      </c>
      <c r="BL265" t="s">
        <v>3218</v>
      </c>
      <c r="BM265" t="s">
        <v>3665</v>
      </c>
      <c r="BN265" t="s">
        <v>74</v>
      </c>
      <c r="BO265" t="s">
        <v>3274</v>
      </c>
      <c r="BP265" t="s">
        <v>74</v>
      </c>
      <c r="BQ265" t="s">
        <v>74</v>
      </c>
      <c r="BR265" t="s">
        <v>98</v>
      </c>
      <c r="BS265" t="s">
        <v>3666</v>
      </c>
      <c r="BT265" t="str">
        <f>HYPERLINK("https%3A%2F%2Fwww.webofscience.com%2Fwos%2Fwoscc%2Ffull-record%2FWOS:000181085100017","View Full Record in Web of Science")</f>
        <v>View Full Record in Web of Science</v>
      </c>
    </row>
    <row r="266" spans="1:72" x14ac:dyDescent="0.15">
      <c r="A266" t="s">
        <v>552</v>
      </c>
      <c r="B266" t="s">
        <v>3667</v>
      </c>
      <c r="C266" t="s">
        <v>74</v>
      </c>
      <c r="D266" t="s">
        <v>74</v>
      </c>
      <c r="E266" t="s">
        <v>74</v>
      </c>
      <c r="F266" t="s">
        <v>3668</v>
      </c>
      <c r="G266" t="s">
        <v>74</v>
      </c>
      <c r="H266" t="s">
        <v>74</v>
      </c>
      <c r="I266" t="s">
        <v>3669</v>
      </c>
      <c r="J266" t="s">
        <v>3670</v>
      </c>
      <c r="K266" t="s">
        <v>74</v>
      </c>
      <c r="L266" t="s">
        <v>74</v>
      </c>
      <c r="M266" t="s">
        <v>78</v>
      </c>
      <c r="N266" t="s">
        <v>775</v>
      </c>
      <c r="O266" t="s">
        <v>74</v>
      </c>
      <c r="P266" t="s">
        <v>74</v>
      </c>
      <c r="Q266" t="s">
        <v>74</v>
      </c>
      <c r="R266" t="s">
        <v>74</v>
      </c>
      <c r="S266" t="s">
        <v>74</v>
      </c>
      <c r="T266" t="s">
        <v>3671</v>
      </c>
      <c r="U266" t="s">
        <v>74</v>
      </c>
      <c r="V266" t="s">
        <v>3672</v>
      </c>
      <c r="W266" t="s">
        <v>3673</v>
      </c>
      <c r="X266" t="s">
        <v>3674</v>
      </c>
      <c r="Y266" t="s">
        <v>3675</v>
      </c>
      <c r="Z266" t="s">
        <v>3676</v>
      </c>
      <c r="AA266" t="s">
        <v>3677</v>
      </c>
      <c r="AB266" t="s">
        <v>3678</v>
      </c>
      <c r="AC266" t="s">
        <v>3679</v>
      </c>
      <c r="AD266" t="s">
        <v>3680</v>
      </c>
      <c r="AE266" t="s">
        <v>3681</v>
      </c>
      <c r="AF266" t="s">
        <v>74</v>
      </c>
      <c r="AG266">
        <v>30</v>
      </c>
      <c r="AH266">
        <v>50</v>
      </c>
      <c r="AI266">
        <v>64</v>
      </c>
      <c r="AJ266">
        <v>1</v>
      </c>
      <c r="AK266">
        <v>6</v>
      </c>
      <c r="AL266" t="s">
        <v>2266</v>
      </c>
      <c r="AM266" t="s">
        <v>2267</v>
      </c>
      <c r="AN266" t="s">
        <v>2268</v>
      </c>
      <c r="AO266" t="s">
        <v>3682</v>
      </c>
      <c r="AP266" t="s">
        <v>3683</v>
      </c>
      <c r="AQ266" t="s">
        <v>74</v>
      </c>
      <c r="AR266" t="s">
        <v>3684</v>
      </c>
      <c r="AS266" t="s">
        <v>3685</v>
      </c>
      <c r="AT266" t="s">
        <v>74</v>
      </c>
      <c r="AU266">
        <v>2003</v>
      </c>
      <c r="AV266">
        <v>26</v>
      </c>
      <c r="AW266" t="s">
        <v>1424</v>
      </c>
      <c r="AX266" t="s">
        <v>74</v>
      </c>
      <c r="AY266" t="s">
        <v>74</v>
      </c>
      <c r="AZ266" t="s">
        <v>3067</v>
      </c>
      <c r="BA266" t="s">
        <v>74</v>
      </c>
      <c r="BB266">
        <v>285</v>
      </c>
      <c r="BC266">
        <v>304</v>
      </c>
      <c r="BD266" t="s">
        <v>74</v>
      </c>
      <c r="BE266" t="s">
        <v>3686</v>
      </c>
      <c r="BF266" t="str">
        <f>HYPERLINK("http://dx.doi.org/10.1080/714044522","http://dx.doi.org/10.1080/714044522")</f>
        <v>http://dx.doi.org/10.1080/714044522</v>
      </c>
      <c r="BG266" t="s">
        <v>74</v>
      </c>
      <c r="BH266" t="s">
        <v>74</v>
      </c>
      <c r="BI266">
        <v>20</v>
      </c>
      <c r="BJ266" t="s">
        <v>3687</v>
      </c>
      <c r="BK266" t="s">
        <v>569</v>
      </c>
      <c r="BL266" t="s">
        <v>3687</v>
      </c>
      <c r="BM266" t="s">
        <v>3688</v>
      </c>
      <c r="BN266" t="s">
        <v>74</v>
      </c>
      <c r="BO266" t="s">
        <v>1574</v>
      </c>
      <c r="BP266" t="s">
        <v>74</v>
      </c>
      <c r="BQ266" t="s">
        <v>74</v>
      </c>
      <c r="BR266" t="s">
        <v>98</v>
      </c>
      <c r="BS266" t="s">
        <v>3689</v>
      </c>
      <c r="BT266" t="str">
        <f>HYPERLINK("https%3A%2F%2Fwww.webofscience.com%2Fwos%2Fwoscc%2Ffull-record%2FWOS:000208356400010","View Full Record in Web of Science")</f>
        <v>View Full Record in Web of Science</v>
      </c>
    </row>
    <row r="267" spans="1:72" x14ac:dyDescent="0.15">
      <c r="A267" t="s">
        <v>72</v>
      </c>
      <c r="B267" t="s">
        <v>3690</v>
      </c>
      <c r="C267" t="s">
        <v>74</v>
      </c>
      <c r="D267" t="s">
        <v>74</v>
      </c>
      <c r="E267" t="s">
        <v>1890</v>
      </c>
      <c r="F267" t="s">
        <v>3690</v>
      </c>
      <c r="G267" t="s">
        <v>74</v>
      </c>
      <c r="H267" t="s">
        <v>74</v>
      </c>
      <c r="I267" t="s">
        <v>3691</v>
      </c>
      <c r="J267" t="s">
        <v>3692</v>
      </c>
      <c r="K267" t="s">
        <v>74</v>
      </c>
      <c r="L267" t="s">
        <v>74</v>
      </c>
      <c r="M267" t="s">
        <v>78</v>
      </c>
      <c r="N267" t="s">
        <v>79</v>
      </c>
      <c r="O267" t="s">
        <v>1893</v>
      </c>
      <c r="P267" t="s">
        <v>1894</v>
      </c>
      <c r="Q267" t="s">
        <v>1895</v>
      </c>
      <c r="R267" t="s">
        <v>74</v>
      </c>
      <c r="S267" t="s">
        <v>74</v>
      </c>
      <c r="T267" t="s">
        <v>3693</v>
      </c>
      <c r="U267" t="s">
        <v>3694</v>
      </c>
      <c r="V267" t="s">
        <v>3695</v>
      </c>
      <c r="W267" t="s">
        <v>3696</v>
      </c>
      <c r="X267" t="s">
        <v>1900</v>
      </c>
      <c r="Y267" t="s">
        <v>3697</v>
      </c>
      <c r="Z267" t="s">
        <v>3698</v>
      </c>
      <c r="AA267" t="s">
        <v>3699</v>
      </c>
      <c r="AB267" t="s">
        <v>3700</v>
      </c>
      <c r="AC267" t="s">
        <v>74</v>
      </c>
      <c r="AD267" t="s">
        <v>74</v>
      </c>
      <c r="AE267" t="s">
        <v>74</v>
      </c>
      <c r="AF267" t="s">
        <v>74</v>
      </c>
      <c r="AG267">
        <v>24</v>
      </c>
      <c r="AH267">
        <v>0</v>
      </c>
      <c r="AI267">
        <v>0</v>
      </c>
      <c r="AJ267">
        <v>0</v>
      </c>
      <c r="AK267">
        <v>5</v>
      </c>
      <c r="AL267" t="s">
        <v>1904</v>
      </c>
      <c r="AM267" t="s">
        <v>1905</v>
      </c>
      <c r="AN267" t="s">
        <v>1906</v>
      </c>
      <c r="AO267" t="s">
        <v>74</v>
      </c>
      <c r="AP267" t="s">
        <v>74</v>
      </c>
      <c r="AQ267" t="s">
        <v>74</v>
      </c>
      <c r="AR267" t="s">
        <v>74</v>
      </c>
      <c r="AS267" t="s">
        <v>74</v>
      </c>
      <c r="AT267" t="s">
        <v>74</v>
      </c>
      <c r="AU267">
        <v>2003</v>
      </c>
      <c r="AV267" t="s">
        <v>74</v>
      </c>
      <c r="AW267" t="s">
        <v>74</v>
      </c>
      <c r="AX267" t="s">
        <v>74</v>
      </c>
      <c r="AY267" t="s">
        <v>74</v>
      </c>
      <c r="AZ267" t="s">
        <v>74</v>
      </c>
      <c r="BA267" t="s">
        <v>74</v>
      </c>
      <c r="BB267">
        <v>83</v>
      </c>
      <c r="BC267">
        <v>100</v>
      </c>
      <c r="BD267" t="s">
        <v>74</v>
      </c>
      <c r="BE267" t="s">
        <v>74</v>
      </c>
      <c r="BF267" t="s">
        <v>74</v>
      </c>
      <c r="BG267" t="s">
        <v>74</v>
      </c>
      <c r="BH267" t="s">
        <v>74</v>
      </c>
      <c r="BI267">
        <v>18</v>
      </c>
      <c r="BJ267" t="s">
        <v>989</v>
      </c>
      <c r="BK267" t="s">
        <v>95</v>
      </c>
      <c r="BL267" t="s">
        <v>989</v>
      </c>
      <c r="BM267" t="s">
        <v>1907</v>
      </c>
      <c r="BN267" t="s">
        <v>74</v>
      </c>
      <c r="BO267" t="s">
        <v>74</v>
      </c>
      <c r="BP267" t="s">
        <v>74</v>
      </c>
      <c r="BQ267" t="s">
        <v>74</v>
      </c>
      <c r="BR267" t="s">
        <v>98</v>
      </c>
      <c r="BS267" t="s">
        <v>3701</v>
      </c>
      <c r="BT267" t="str">
        <f>HYPERLINK("https%3A%2F%2Fwww.webofscience.com%2Fwos%2Fwoscc%2Ffull-record%2FWOS:000186633500005","View Full Record in Web of Science")</f>
        <v>View Full Record in Web of Science</v>
      </c>
    </row>
    <row r="268" spans="1:72" x14ac:dyDescent="0.15">
      <c r="A268" t="s">
        <v>552</v>
      </c>
      <c r="B268" t="s">
        <v>3702</v>
      </c>
      <c r="C268" t="s">
        <v>74</v>
      </c>
      <c r="D268" t="s">
        <v>74</v>
      </c>
      <c r="E268" t="s">
        <v>74</v>
      </c>
      <c r="F268" t="s">
        <v>3702</v>
      </c>
      <c r="G268" t="s">
        <v>74</v>
      </c>
      <c r="H268" t="s">
        <v>74</v>
      </c>
      <c r="I268" t="s">
        <v>3703</v>
      </c>
      <c r="J268" t="s">
        <v>3704</v>
      </c>
      <c r="K268" t="s">
        <v>74</v>
      </c>
      <c r="L268" t="s">
        <v>74</v>
      </c>
      <c r="M268" t="s">
        <v>78</v>
      </c>
      <c r="N268" t="s">
        <v>775</v>
      </c>
      <c r="O268" t="s">
        <v>74</v>
      </c>
      <c r="P268" t="s">
        <v>74</v>
      </c>
      <c r="Q268" t="s">
        <v>74</v>
      </c>
      <c r="R268" t="s">
        <v>74</v>
      </c>
      <c r="S268" t="s">
        <v>74</v>
      </c>
      <c r="T268" t="s">
        <v>74</v>
      </c>
      <c r="U268" t="s">
        <v>3705</v>
      </c>
      <c r="V268" t="s">
        <v>3706</v>
      </c>
      <c r="W268" t="s">
        <v>3707</v>
      </c>
      <c r="X268" t="s">
        <v>3708</v>
      </c>
      <c r="Y268" t="s">
        <v>3709</v>
      </c>
      <c r="Z268" t="s">
        <v>74</v>
      </c>
      <c r="AA268" t="s">
        <v>74</v>
      </c>
      <c r="AB268" t="s">
        <v>74</v>
      </c>
      <c r="AC268" t="s">
        <v>74</v>
      </c>
      <c r="AD268" t="s">
        <v>74</v>
      </c>
      <c r="AE268" t="s">
        <v>74</v>
      </c>
      <c r="AF268" t="s">
        <v>74</v>
      </c>
      <c r="AG268">
        <v>52</v>
      </c>
      <c r="AH268">
        <v>18</v>
      </c>
      <c r="AI268">
        <v>18</v>
      </c>
      <c r="AJ268">
        <v>0</v>
      </c>
      <c r="AK268">
        <v>3</v>
      </c>
      <c r="AL268" t="s">
        <v>3710</v>
      </c>
      <c r="AM268" t="s">
        <v>3711</v>
      </c>
      <c r="AN268" t="s">
        <v>3712</v>
      </c>
      <c r="AO268" t="s">
        <v>3713</v>
      </c>
      <c r="AP268" t="s">
        <v>74</v>
      </c>
      <c r="AQ268" t="s">
        <v>74</v>
      </c>
      <c r="AR268" t="s">
        <v>3714</v>
      </c>
      <c r="AS268" t="s">
        <v>3715</v>
      </c>
      <c r="AT268" t="s">
        <v>566</v>
      </c>
      <c r="AU268">
        <v>2003</v>
      </c>
      <c r="AV268">
        <v>38</v>
      </c>
      <c r="AW268">
        <v>1</v>
      </c>
      <c r="AX268" t="s">
        <v>74</v>
      </c>
      <c r="AY268" t="s">
        <v>74</v>
      </c>
      <c r="AZ268" t="s">
        <v>74</v>
      </c>
      <c r="BA268" t="s">
        <v>74</v>
      </c>
      <c r="BB268">
        <v>145</v>
      </c>
      <c r="BC268">
        <v>156</v>
      </c>
      <c r="BD268" t="s">
        <v>74</v>
      </c>
      <c r="BE268" t="s">
        <v>3716</v>
      </c>
      <c r="BF268" t="str">
        <f>HYPERLINK("http://dx.doi.org/10.1111/j.1945-5100.2003.tb01051.x","http://dx.doi.org/10.1111/j.1945-5100.2003.tb01051.x")</f>
        <v>http://dx.doi.org/10.1111/j.1945-5100.2003.tb01051.x</v>
      </c>
      <c r="BG268" t="s">
        <v>74</v>
      </c>
      <c r="BH268" t="s">
        <v>74</v>
      </c>
      <c r="BI268">
        <v>12</v>
      </c>
      <c r="BJ268" t="s">
        <v>2068</v>
      </c>
      <c r="BK268" t="s">
        <v>569</v>
      </c>
      <c r="BL268" t="s">
        <v>2068</v>
      </c>
      <c r="BM268" t="s">
        <v>3717</v>
      </c>
      <c r="BN268" t="s">
        <v>74</v>
      </c>
      <c r="BO268" t="s">
        <v>572</v>
      </c>
      <c r="BP268" t="s">
        <v>74</v>
      </c>
      <c r="BQ268" t="s">
        <v>74</v>
      </c>
      <c r="BR268" t="s">
        <v>98</v>
      </c>
      <c r="BS268" t="s">
        <v>3718</v>
      </c>
      <c r="BT268" t="str">
        <f>HYPERLINK("https%3A%2F%2Fwww.webofscience.com%2Fwos%2Fwoscc%2Ffull-record%2FWOS:000182385300010","View Full Record in Web of Science")</f>
        <v>View Full Record in Web of Science</v>
      </c>
    </row>
    <row r="269" spans="1:72" x14ac:dyDescent="0.15">
      <c r="A269" t="s">
        <v>552</v>
      </c>
      <c r="B269" t="s">
        <v>3719</v>
      </c>
      <c r="C269" t="s">
        <v>74</v>
      </c>
      <c r="D269" t="s">
        <v>74</v>
      </c>
      <c r="E269" t="s">
        <v>74</v>
      </c>
      <c r="F269" t="s">
        <v>3719</v>
      </c>
      <c r="G269" t="s">
        <v>74</v>
      </c>
      <c r="H269" t="s">
        <v>74</v>
      </c>
      <c r="I269" t="s">
        <v>3720</v>
      </c>
      <c r="J269" t="s">
        <v>3721</v>
      </c>
      <c r="K269" t="s">
        <v>74</v>
      </c>
      <c r="L269" t="s">
        <v>74</v>
      </c>
      <c r="M269" t="s">
        <v>78</v>
      </c>
      <c r="N269" t="s">
        <v>775</v>
      </c>
      <c r="O269" t="s">
        <v>74</v>
      </c>
      <c r="P269" t="s">
        <v>74</v>
      </c>
      <c r="Q269" t="s">
        <v>74</v>
      </c>
      <c r="R269" t="s">
        <v>74</v>
      </c>
      <c r="S269" t="s">
        <v>74</v>
      </c>
      <c r="T269" t="s">
        <v>74</v>
      </c>
      <c r="U269" t="s">
        <v>3722</v>
      </c>
      <c r="V269" t="s">
        <v>3723</v>
      </c>
      <c r="W269" t="s">
        <v>3724</v>
      </c>
      <c r="X269" t="s">
        <v>3725</v>
      </c>
      <c r="Y269" t="s">
        <v>3726</v>
      </c>
      <c r="Z269" t="s">
        <v>74</v>
      </c>
      <c r="AA269" t="s">
        <v>3727</v>
      </c>
      <c r="AB269" t="s">
        <v>3728</v>
      </c>
      <c r="AC269" t="s">
        <v>74</v>
      </c>
      <c r="AD269" t="s">
        <v>74</v>
      </c>
      <c r="AE269" t="s">
        <v>74</v>
      </c>
      <c r="AF269" t="s">
        <v>74</v>
      </c>
      <c r="AG269">
        <v>20</v>
      </c>
      <c r="AH269">
        <v>8</v>
      </c>
      <c r="AI269">
        <v>8</v>
      </c>
      <c r="AJ269">
        <v>0</v>
      </c>
      <c r="AK269">
        <v>1</v>
      </c>
      <c r="AL269" t="s">
        <v>3729</v>
      </c>
      <c r="AM269" t="s">
        <v>3730</v>
      </c>
      <c r="AN269" t="s">
        <v>3731</v>
      </c>
      <c r="AO269" t="s">
        <v>3732</v>
      </c>
      <c r="AP269" t="s">
        <v>74</v>
      </c>
      <c r="AQ269" t="s">
        <v>74</v>
      </c>
      <c r="AR269" t="s">
        <v>3733</v>
      </c>
      <c r="AS269" t="s">
        <v>3734</v>
      </c>
      <c r="AT269" t="s">
        <v>74</v>
      </c>
      <c r="AU269">
        <v>2003</v>
      </c>
      <c r="AV269">
        <v>12</v>
      </c>
      <c r="AW269">
        <v>4</v>
      </c>
      <c r="AX269" t="s">
        <v>74</v>
      </c>
      <c r="AY269" t="s">
        <v>74</v>
      </c>
      <c r="AZ269" t="s">
        <v>74</v>
      </c>
      <c r="BA269" t="s">
        <v>74</v>
      </c>
      <c r="BB269">
        <v>203</v>
      </c>
      <c r="BC269">
        <v>208</v>
      </c>
      <c r="BD269" t="s">
        <v>74</v>
      </c>
      <c r="BE269" t="s">
        <v>3735</v>
      </c>
      <c r="BF269" t="str">
        <f>HYPERLINK("http://dx.doi.org/10.1127/0941-2948/2003/0012-0203","http://dx.doi.org/10.1127/0941-2948/2003/0012-0203")</f>
        <v>http://dx.doi.org/10.1127/0941-2948/2003/0012-0203</v>
      </c>
      <c r="BG269" t="s">
        <v>74</v>
      </c>
      <c r="BH269" t="s">
        <v>74</v>
      </c>
      <c r="BI269">
        <v>6</v>
      </c>
      <c r="BJ269" t="s">
        <v>1237</v>
      </c>
      <c r="BK269" t="s">
        <v>569</v>
      </c>
      <c r="BL269" t="s">
        <v>1237</v>
      </c>
      <c r="BM269" t="s">
        <v>3736</v>
      </c>
      <c r="BN269" t="s">
        <v>74</v>
      </c>
      <c r="BO269" t="s">
        <v>74</v>
      </c>
      <c r="BP269" t="s">
        <v>74</v>
      </c>
      <c r="BQ269" t="s">
        <v>74</v>
      </c>
      <c r="BR269" t="s">
        <v>98</v>
      </c>
      <c r="BS269" t="s">
        <v>3737</v>
      </c>
      <c r="BT269" t="str">
        <f>HYPERLINK("https%3A%2F%2Fwww.webofscience.com%2Fwos%2Fwoscc%2Ffull-record%2FWOS:000185870000003","View Full Record in Web of Science")</f>
        <v>View Full Record in Web of Science</v>
      </c>
    </row>
    <row r="270" spans="1:72" x14ac:dyDescent="0.15">
      <c r="A270" t="s">
        <v>903</v>
      </c>
      <c r="B270" t="s">
        <v>3738</v>
      </c>
      <c r="C270" t="s">
        <v>74</v>
      </c>
      <c r="D270" t="s">
        <v>3739</v>
      </c>
      <c r="E270" t="s">
        <v>74</v>
      </c>
      <c r="F270" t="s">
        <v>3738</v>
      </c>
      <c r="G270" t="s">
        <v>74</v>
      </c>
      <c r="H270" t="s">
        <v>74</v>
      </c>
      <c r="I270" t="s">
        <v>3740</v>
      </c>
      <c r="J270" t="s">
        <v>3741</v>
      </c>
      <c r="K270" t="s">
        <v>3742</v>
      </c>
      <c r="L270" t="s">
        <v>74</v>
      </c>
      <c r="M270" t="s">
        <v>78</v>
      </c>
      <c r="N270" t="s">
        <v>576</v>
      </c>
      <c r="O270" t="s">
        <v>3743</v>
      </c>
      <c r="P270">
        <v>2002</v>
      </c>
      <c r="Q270" t="s">
        <v>3744</v>
      </c>
      <c r="R270" t="s">
        <v>74</v>
      </c>
      <c r="S270" t="s">
        <v>74</v>
      </c>
      <c r="T270" t="s">
        <v>74</v>
      </c>
      <c r="U270" t="s">
        <v>3745</v>
      </c>
      <c r="V270" t="s">
        <v>3746</v>
      </c>
      <c r="W270" t="s">
        <v>3747</v>
      </c>
      <c r="X270" t="s">
        <v>3748</v>
      </c>
      <c r="Y270" t="s">
        <v>3749</v>
      </c>
      <c r="Z270" t="s">
        <v>74</v>
      </c>
      <c r="AA270" t="s">
        <v>3750</v>
      </c>
      <c r="AB270" t="s">
        <v>3751</v>
      </c>
      <c r="AC270" t="s">
        <v>74</v>
      </c>
      <c r="AD270" t="s">
        <v>74</v>
      </c>
      <c r="AE270" t="s">
        <v>74</v>
      </c>
      <c r="AF270" t="s">
        <v>74</v>
      </c>
      <c r="AG270">
        <v>11</v>
      </c>
      <c r="AH270">
        <v>19</v>
      </c>
      <c r="AI270">
        <v>24</v>
      </c>
      <c r="AJ270">
        <v>0</v>
      </c>
      <c r="AK270">
        <v>4</v>
      </c>
      <c r="AL270" t="s">
        <v>806</v>
      </c>
      <c r="AM270" t="s">
        <v>3752</v>
      </c>
      <c r="AN270" t="s">
        <v>3753</v>
      </c>
      <c r="AO270" t="s">
        <v>3754</v>
      </c>
      <c r="AP270" t="s">
        <v>74</v>
      </c>
      <c r="AQ270" t="s">
        <v>74</v>
      </c>
      <c r="AR270" t="s">
        <v>3755</v>
      </c>
      <c r="AS270" t="s">
        <v>74</v>
      </c>
      <c r="AT270" t="s">
        <v>74</v>
      </c>
      <c r="AU270">
        <v>2003</v>
      </c>
      <c r="AV270">
        <v>32</v>
      </c>
      <c r="AW270">
        <v>5</v>
      </c>
      <c r="AX270" t="s">
        <v>74</v>
      </c>
      <c r="AY270" t="s">
        <v>74</v>
      </c>
      <c r="AZ270" t="s">
        <v>74</v>
      </c>
      <c r="BA270" t="s">
        <v>74</v>
      </c>
      <c r="BB270">
        <v>771</v>
      </c>
      <c r="BC270">
        <v>776</v>
      </c>
      <c r="BD270" t="s">
        <v>74</v>
      </c>
      <c r="BE270" t="s">
        <v>3756</v>
      </c>
      <c r="BF270" t="str">
        <f>HYPERLINK("http://dx.doi.org/10.1016/S0273-1177(03)00421-6","http://dx.doi.org/10.1016/S0273-1177(03)00421-6")</f>
        <v>http://dx.doi.org/10.1016/S0273-1177(03)00421-6</v>
      </c>
      <c r="BG270" t="s">
        <v>74</v>
      </c>
      <c r="BH270" t="s">
        <v>74</v>
      </c>
      <c r="BI270">
        <v>6</v>
      </c>
      <c r="BJ270" t="s">
        <v>3757</v>
      </c>
      <c r="BK270" t="s">
        <v>589</v>
      </c>
      <c r="BL270" t="s">
        <v>3758</v>
      </c>
      <c r="BM270" t="s">
        <v>3759</v>
      </c>
      <c r="BN270" t="s">
        <v>74</v>
      </c>
      <c r="BO270" t="s">
        <v>74</v>
      </c>
      <c r="BP270" t="s">
        <v>74</v>
      </c>
      <c r="BQ270" t="s">
        <v>74</v>
      </c>
      <c r="BR270" t="s">
        <v>98</v>
      </c>
      <c r="BS270" t="s">
        <v>3760</v>
      </c>
      <c r="BT270" t="str">
        <f>HYPERLINK("https%3A%2F%2Fwww.webofscience.com%2Fwos%2Fwoscc%2Ffull-record%2FWOS:000187294000011","View Full Record in Web of Science")</f>
        <v>View Full Record in Web of Science</v>
      </c>
    </row>
    <row r="271" spans="1:72" x14ac:dyDescent="0.15">
      <c r="A271" t="s">
        <v>903</v>
      </c>
      <c r="B271" t="s">
        <v>3761</v>
      </c>
      <c r="C271" t="s">
        <v>74</v>
      </c>
      <c r="D271" t="s">
        <v>3739</v>
      </c>
      <c r="E271" t="s">
        <v>74</v>
      </c>
      <c r="F271" t="s">
        <v>3761</v>
      </c>
      <c r="G271" t="s">
        <v>74</v>
      </c>
      <c r="H271" t="s">
        <v>74</v>
      </c>
      <c r="I271" t="s">
        <v>3762</v>
      </c>
      <c r="J271" t="s">
        <v>3741</v>
      </c>
      <c r="K271" t="s">
        <v>3742</v>
      </c>
      <c r="L271" t="s">
        <v>74</v>
      </c>
      <c r="M271" t="s">
        <v>78</v>
      </c>
      <c r="N271" t="s">
        <v>576</v>
      </c>
      <c r="O271" t="s">
        <v>3743</v>
      </c>
      <c r="P271">
        <v>2002</v>
      </c>
      <c r="Q271" t="s">
        <v>3744</v>
      </c>
      <c r="R271" t="s">
        <v>74</v>
      </c>
      <c r="S271" t="s">
        <v>74</v>
      </c>
      <c r="T271" t="s">
        <v>74</v>
      </c>
      <c r="U271" t="s">
        <v>3763</v>
      </c>
      <c r="V271" t="s">
        <v>3764</v>
      </c>
      <c r="W271" t="s">
        <v>3765</v>
      </c>
      <c r="X271" t="s">
        <v>3766</v>
      </c>
      <c r="Y271" t="s">
        <v>3767</v>
      </c>
      <c r="Z271" t="s">
        <v>74</v>
      </c>
      <c r="AA271" t="s">
        <v>3768</v>
      </c>
      <c r="AB271" t="s">
        <v>3769</v>
      </c>
      <c r="AC271" t="s">
        <v>74</v>
      </c>
      <c r="AD271" t="s">
        <v>74</v>
      </c>
      <c r="AE271" t="s">
        <v>74</v>
      </c>
      <c r="AF271" t="s">
        <v>74</v>
      </c>
      <c r="AG271">
        <v>11</v>
      </c>
      <c r="AH271">
        <v>31</v>
      </c>
      <c r="AI271">
        <v>32</v>
      </c>
      <c r="AJ271">
        <v>0</v>
      </c>
      <c r="AK271">
        <v>3</v>
      </c>
      <c r="AL271" t="s">
        <v>806</v>
      </c>
      <c r="AM271" t="s">
        <v>3752</v>
      </c>
      <c r="AN271" t="s">
        <v>3753</v>
      </c>
      <c r="AO271" t="s">
        <v>3754</v>
      </c>
      <c r="AP271" t="s">
        <v>74</v>
      </c>
      <c r="AQ271" t="s">
        <v>74</v>
      </c>
      <c r="AR271" t="s">
        <v>3755</v>
      </c>
      <c r="AS271" t="s">
        <v>74</v>
      </c>
      <c r="AT271" t="s">
        <v>74</v>
      </c>
      <c r="AU271">
        <v>2003</v>
      </c>
      <c r="AV271">
        <v>32</v>
      </c>
      <c r="AW271">
        <v>5</v>
      </c>
      <c r="AX271" t="s">
        <v>74</v>
      </c>
      <c r="AY271" t="s">
        <v>74</v>
      </c>
      <c r="AZ271" t="s">
        <v>74</v>
      </c>
      <c r="BA271" t="s">
        <v>74</v>
      </c>
      <c r="BB271">
        <v>801</v>
      </c>
      <c r="BC271">
        <v>806</v>
      </c>
      <c r="BD271" t="s">
        <v>74</v>
      </c>
      <c r="BE271" t="s">
        <v>3770</v>
      </c>
      <c r="BF271" t="str">
        <f>HYPERLINK("http://dx.doi.org/10.1016/S0273-1177(03)00402-2","http://dx.doi.org/10.1016/S0273-1177(03)00402-2")</f>
        <v>http://dx.doi.org/10.1016/S0273-1177(03)00402-2</v>
      </c>
      <c r="BG271" t="s">
        <v>74</v>
      </c>
      <c r="BH271" t="s">
        <v>74</v>
      </c>
      <c r="BI271">
        <v>6</v>
      </c>
      <c r="BJ271" t="s">
        <v>3757</v>
      </c>
      <c r="BK271" t="s">
        <v>589</v>
      </c>
      <c r="BL271" t="s">
        <v>3758</v>
      </c>
      <c r="BM271" t="s">
        <v>3759</v>
      </c>
      <c r="BN271" t="s">
        <v>74</v>
      </c>
      <c r="BO271" t="s">
        <v>74</v>
      </c>
      <c r="BP271" t="s">
        <v>74</v>
      </c>
      <c r="BQ271" t="s">
        <v>74</v>
      </c>
      <c r="BR271" t="s">
        <v>98</v>
      </c>
      <c r="BS271" t="s">
        <v>3771</v>
      </c>
      <c r="BT271" t="str">
        <f>HYPERLINK("https%3A%2F%2Fwww.webofscience.com%2Fwos%2Fwoscc%2Ffull-record%2FWOS:000187294000015","View Full Record in Web of Science")</f>
        <v>View Full Record in Web of Science</v>
      </c>
    </row>
    <row r="272" spans="1:72" x14ac:dyDescent="0.15">
      <c r="A272" t="s">
        <v>552</v>
      </c>
      <c r="B272" t="s">
        <v>3772</v>
      </c>
      <c r="C272" t="s">
        <v>74</v>
      </c>
      <c r="D272" t="s">
        <v>74</v>
      </c>
      <c r="E272" t="s">
        <v>74</v>
      </c>
      <c r="F272" t="s">
        <v>3772</v>
      </c>
      <c r="G272" t="s">
        <v>74</v>
      </c>
      <c r="H272" t="s">
        <v>74</v>
      </c>
      <c r="I272" t="s">
        <v>3773</v>
      </c>
      <c r="J272" t="s">
        <v>3774</v>
      </c>
      <c r="K272" t="s">
        <v>74</v>
      </c>
      <c r="L272" t="s">
        <v>74</v>
      </c>
      <c r="M272" t="s">
        <v>78</v>
      </c>
      <c r="N272" t="s">
        <v>775</v>
      </c>
      <c r="O272" t="s">
        <v>74</v>
      </c>
      <c r="P272" t="s">
        <v>74</v>
      </c>
      <c r="Q272" t="s">
        <v>74</v>
      </c>
      <c r="R272" t="s">
        <v>74</v>
      </c>
      <c r="S272" t="s">
        <v>74</v>
      </c>
      <c r="T272" t="s">
        <v>3775</v>
      </c>
      <c r="U272" t="s">
        <v>3776</v>
      </c>
      <c r="V272" t="s">
        <v>3777</v>
      </c>
      <c r="W272" t="s">
        <v>3778</v>
      </c>
      <c r="X272" t="s">
        <v>3779</v>
      </c>
      <c r="Y272" t="s">
        <v>3780</v>
      </c>
      <c r="Z272" t="s">
        <v>74</v>
      </c>
      <c r="AA272" t="s">
        <v>3781</v>
      </c>
      <c r="AB272" t="s">
        <v>3782</v>
      </c>
      <c r="AC272" t="s">
        <v>74</v>
      </c>
      <c r="AD272" t="s">
        <v>74</v>
      </c>
      <c r="AE272" t="s">
        <v>74</v>
      </c>
      <c r="AF272" t="s">
        <v>74</v>
      </c>
      <c r="AG272">
        <v>20</v>
      </c>
      <c r="AH272">
        <v>26</v>
      </c>
      <c r="AI272">
        <v>27</v>
      </c>
      <c r="AJ272">
        <v>0</v>
      </c>
      <c r="AK272">
        <v>4</v>
      </c>
      <c r="AL272" t="s">
        <v>3783</v>
      </c>
      <c r="AM272" t="s">
        <v>3784</v>
      </c>
      <c r="AN272" t="s">
        <v>3785</v>
      </c>
      <c r="AO272" t="s">
        <v>3786</v>
      </c>
      <c r="AP272" t="s">
        <v>74</v>
      </c>
      <c r="AQ272" t="s">
        <v>74</v>
      </c>
      <c r="AR272" t="s">
        <v>3787</v>
      </c>
      <c r="AS272" t="s">
        <v>3788</v>
      </c>
      <c r="AT272" t="s">
        <v>566</v>
      </c>
      <c r="AU272">
        <v>2003</v>
      </c>
      <c r="AV272">
        <v>20</v>
      </c>
      <c r="AW272">
        <v>1</v>
      </c>
      <c r="AX272" t="s">
        <v>74</v>
      </c>
      <c r="AY272" t="s">
        <v>74</v>
      </c>
      <c r="AZ272" t="s">
        <v>74</v>
      </c>
      <c r="BA272" t="s">
        <v>74</v>
      </c>
      <c r="BB272">
        <v>105</v>
      </c>
      <c r="BC272">
        <v>110</v>
      </c>
      <c r="BD272" t="s">
        <v>74</v>
      </c>
      <c r="BE272" t="s">
        <v>3789</v>
      </c>
      <c r="BF272" t="str">
        <f>HYPERLINK("http://dx.doi.org/10.1093/molbev/msg008","http://dx.doi.org/10.1093/molbev/msg008")</f>
        <v>http://dx.doi.org/10.1093/molbev/msg008</v>
      </c>
      <c r="BG272" t="s">
        <v>74</v>
      </c>
      <c r="BH272" t="s">
        <v>74</v>
      </c>
      <c r="BI272">
        <v>6</v>
      </c>
      <c r="BJ272" t="s">
        <v>2967</v>
      </c>
      <c r="BK272" t="s">
        <v>569</v>
      </c>
      <c r="BL272" t="s">
        <v>2967</v>
      </c>
      <c r="BM272" t="s">
        <v>3790</v>
      </c>
      <c r="BN272">
        <v>12519912</v>
      </c>
      <c r="BO272" t="s">
        <v>572</v>
      </c>
      <c r="BP272" t="s">
        <v>74</v>
      </c>
      <c r="BQ272" t="s">
        <v>74</v>
      </c>
      <c r="BR272" t="s">
        <v>98</v>
      </c>
      <c r="BS272" t="s">
        <v>3791</v>
      </c>
      <c r="BT272" t="str">
        <f>HYPERLINK("https%3A%2F%2Fwww.webofscience.com%2Fwos%2Fwoscc%2Ffull-record%2FWOS:000180243700014","View Full Record in Web of Science")</f>
        <v>View Full Record in Web of Science</v>
      </c>
    </row>
    <row r="273" spans="1:72" x14ac:dyDescent="0.15">
      <c r="A273" t="s">
        <v>552</v>
      </c>
      <c r="B273" t="s">
        <v>3792</v>
      </c>
      <c r="C273" t="s">
        <v>74</v>
      </c>
      <c r="D273" t="s">
        <v>74</v>
      </c>
      <c r="E273" t="s">
        <v>74</v>
      </c>
      <c r="F273" t="s">
        <v>3792</v>
      </c>
      <c r="G273" t="s">
        <v>74</v>
      </c>
      <c r="H273" t="s">
        <v>74</v>
      </c>
      <c r="I273" t="s">
        <v>3793</v>
      </c>
      <c r="J273" t="s">
        <v>3794</v>
      </c>
      <c r="K273" t="s">
        <v>74</v>
      </c>
      <c r="L273" t="s">
        <v>74</v>
      </c>
      <c r="M273" t="s">
        <v>78</v>
      </c>
      <c r="N273" t="s">
        <v>775</v>
      </c>
      <c r="O273" t="s">
        <v>74</v>
      </c>
      <c r="P273" t="s">
        <v>74</v>
      </c>
      <c r="Q273" t="s">
        <v>74</v>
      </c>
      <c r="R273" t="s">
        <v>74</v>
      </c>
      <c r="S273" t="s">
        <v>74</v>
      </c>
      <c r="T273" t="s">
        <v>3795</v>
      </c>
      <c r="U273" t="s">
        <v>3796</v>
      </c>
      <c r="V273" t="s">
        <v>3797</v>
      </c>
      <c r="W273" t="s">
        <v>3798</v>
      </c>
      <c r="X273" t="s">
        <v>3799</v>
      </c>
      <c r="Y273" t="s">
        <v>3800</v>
      </c>
      <c r="Z273" t="s">
        <v>74</v>
      </c>
      <c r="AA273" t="s">
        <v>74</v>
      </c>
      <c r="AB273" t="s">
        <v>74</v>
      </c>
      <c r="AC273" t="s">
        <v>74</v>
      </c>
      <c r="AD273" t="s">
        <v>74</v>
      </c>
      <c r="AE273" t="s">
        <v>74</v>
      </c>
      <c r="AF273" t="s">
        <v>74</v>
      </c>
      <c r="AG273">
        <v>43</v>
      </c>
      <c r="AH273">
        <v>21</v>
      </c>
      <c r="AI273">
        <v>23</v>
      </c>
      <c r="AJ273">
        <v>1</v>
      </c>
      <c r="AK273">
        <v>2</v>
      </c>
      <c r="AL273" t="s">
        <v>1209</v>
      </c>
      <c r="AM273" t="s">
        <v>1210</v>
      </c>
      <c r="AN273" t="s">
        <v>1211</v>
      </c>
      <c r="AO273" t="s">
        <v>3801</v>
      </c>
      <c r="AP273" t="s">
        <v>74</v>
      </c>
      <c r="AQ273" t="s">
        <v>74</v>
      </c>
      <c r="AR273" t="s">
        <v>3794</v>
      </c>
      <c r="AS273" t="s">
        <v>3802</v>
      </c>
      <c r="AT273" t="s">
        <v>74</v>
      </c>
      <c r="AU273">
        <v>2003</v>
      </c>
      <c r="AV273">
        <v>156</v>
      </c>
      <c r="AW273">
        <v>4</v>
      </c>
      <c r="AX273" t="s">
        <v>74</v>
      </c>
      <c r="AY273" t="s">
        <v>74</v>
      </c>
      <c r="AZ273" t="s">
        <v>74</v>
      </c>
      <c r="BA273" t="s">
        <v>74</v>
      </c>
      <c r="BB273">
        <v>317</v>
      </c>
      <c r="BC273">
        <v>327</v>
      </c>
      <c r="BD273" t="s">
        <v>74</v>
      </c>
      <c r="BE273" t="s">
        <v>3803</v>
      </c>
      <c r="BF273" t="str">
        <f>HYPERLINK("http://dx.doi.org/10.1023/B:MYCO.0000003573.37109.89","http://dx.doi.org/10.1023/B:MYCO.0000003573.37109.89")</f>
        <v>http://dx.doi.org/10.1023/B:MYCO.0000003573.37109.89</v>
      </c>
      <c r="BG273" t="s">
        <v>74</v>
      </c>
      <c r="BH273" t="s">
        <v>74</v>
      </c>
      <c r="BI273">
        <v>11</v>
      </c>
      <c r="BJ273" t="s">
        <v>3804</v>
      </c>
      <c r="BK273" t="s">
        <v>569</v>
      </c>
      <c r="BL273" t="s">
        <v>3804</v>
      </c>
      <c r="BM273" t="s">
        <v>3805</v>
      </c>
      <c r="BN273">
        <v>14682458</v>
      </c>
      <c r="BO273" t="s">
        <v>74</v>
      </c>
      <c r="BP273" t="s">
        <v>74</v>
      </c>
      <c r="BQ273" t="s">
        <v>74</v>
      </c>
      <c r="BR273" t="s">
        <v>98</v>
      </c>
      <c r="BS273" t="s">
        <v>3806</v>
      </c>
      <c r="BT273" t="str">
        <f>HYPERLINK("https%3A%2F%2Fwww.webofscience.com%2Fwos%2Fwoscc%2Ffull-record%2FWOS:000186615000011","View Full Record in Web of Science")</f>
        <v>View Full Record in Web of Science</v>
      </c>
    </row>
    <row r="274" spans="1:72" x14ac:dyDescent="0.15">
      <c r="A274" t="s">
        <v>552</v>
      </c>
      <c r="B274" t="s">
        <v>3807</v>
      </c>
      <c r="C274" t="s">
        <v>74</v>
      </c>
      <c r="D274" t="s">
        <v>74</v>
      </c>
      <c r="E274" t="s">
        <v>74</v>
      </c>
      <c r="F274" t="s">
        <v>3807</v>
      </c>
      <c r="G274" t="s">
        <v>74</v>
      </c>
      <c r="H274" t="s">
        <v>74</v>
      </c>
      <c r="I274" t="s">
        <v>3808</v>
      </c>
      <c r="J274" t="s">
        <v>3809</v>
      </c>
      <c r="K274" t="s">
        <v>74</v>
      </c>
      <c r="L274" t="s">
        <v>74</v>
      </c>
      <c r="M274" t="s">
        <v>78</v>
      </c>
      <c r="N274" t="s">
        <v>775</v>
      </c>
      <c r="O274" t="s">
        <v>74</v>
      </c>
      <c r="P274" t="s">
        <v>74</v>
      </c>
      <c r="Q274" t="s">
        <v>74</v>
      </c>
      <c r="R274" t="s">
        <v>74</v>
      </c>
      <c r="S274" t="s">
        <v>74</v>
      </c>
      <c r="T274" t="s">
        <v>74</v>
      </c>
      <c r="U274" t="s">
        <v>3810</v>
      </c>
      <c r="V274" t="s">
        <v>74</v>
      </c>
      <c r="W274" t="s">
        <v>3811</v>
      </c>
      <c r="X274" t="s">
        <v>3812</v>
      </c>
      <c r="Y274" t="s">
        <v>3813</v>
      </c>
      <c r="Z274" t="s">
        <v>74</v>
      </c>
      <c r="AA274" t="s">
        <v>74</v>
      </c>
      <c r="AB274" t="s">
        <v>3814</v>
      </c>
      <c r="AC274" t="s">
        <v>74</v>
      </c>
      <c r="AD274" t="s">
        <v>74</v>
      </c>
      <c r="AE274" t="s">
        <v>74</v>
      </c>
      <c r="AF274" t="s">
        <v>74</v>
      </c>
      <c r="AG274">
        <v>38</v>
      </c>
      <c r="AH274">
        <v>13</v>
      </c>
      <c r="AI274">
        <v>14</v>
      </c>
      <c r="AJ274">
        <v>1</v>
      </c>
      <c r="AK274">
        <v>6</v>
      </c>
      <c r="AL274" t="s">
        <v>3815</v>
      </c>
      <c r="AM274" t="s">
        <v>2113</v>
      </c>
      <c r="AN274" t="s">
        <v>3816</v>
      </c>
      <c r="AO274" t="s">
        <v>3817</v>
      </c>
      <c r="AP274" t="s">
        <v>74</v>
      </c>
      <c r="AQ274" t="s">
        <v>74</v>
      </c>
      <c r="AR274" t="s">
        <v>3818</v>
      </c>
      <c r="AS274" t="s">
        <v>3819</v>
      </c>
      <c r="AT274" t="s">
        <v>566</v>
      </c>
      <c r="AU274">
        <v>2003</v>
      </c>
      <c r="AV274">
        <v>5</v>
      </c>
      <c r="AW274">
        <v>1</v>
      </c>
      <c r="AX274" t="s">
        <v>74</v>
      </c>
      <c r="AY274" t="s">
        <v>74</v>
      </c>
      <c r="AZ274" t="s">
        <v>74</v>
      </c>
      <c r="BA274" t="s">
        <v>74</v>
      </c>
      <c r="BB274">
        <v>3</v>
      </c>
      <c r="BC274">
        <v>6</v>
      </c>
      <c r="BD274" t="s">
        <v>74</v>
      </c>
      <c r="BE274" t="s">
        <v>3820</v>
      </c>
      <c r="BF274" t="str">
        <f>HYPERLINK("http://dx.doi.org/10.1038/ncb0103-3","http://dx.doi.org/10.1038/ncb0103-3")</f>
        <v>http://dx.doi.org/10.1038/ncb0103-3</v>
      </c>
      <c r="BG274" t="s">
        <v>74</v>
      </c>
      <c r="BH274" t="s">
        <v>74</v>
      </c>
      <c r="BI274">
        <v>4</v>
      </c>
      <c r="BJ274" t="s">
        <v>1155</v>
      </c>
      <c r="BK274" t="s">
        <v>569</v>
      </c>
      <c r="BL274" t="s">
        <v>1155</v>
      </c>
      <c r="BM274" t="s">
        <v>3821</v>
      </c>
      <c r="BN274">
        <v>12511880</v>
      </c>
      <c r="BO274" t="s">
        <v>74</v>
      </c>
      <c r="BP274" t="s">
        <v>74</v>
      </c>
      <c r="BQ274" t="s">
        <v>74</v>
      </c>
      <c r="BR274" t="s">
        <v>98</v>
      </c>
      <c r="BS274" t="s">
        <v>3822</v>
      </c>
      <c r="BT274" t="str">
        <f>HYPERLINK("https%3A%2F%2Fwww.webofscience.com%2Fwos%2Fwoscc%2Ffull-record%2FWOS:000180223700002","View Full Record in Web of Science")</f>
        <v>View Full Record in Web of Science</v>
      </c>
    </row>
    <row r="275" spans="1:72" x14ac:dyDescent="0.15">
      <c r="A275" t="s">
        <v>552</v>
      </c>
      <c r="B275" t="s">
        <v>3823</v>
      </c>
      <c r="C275" t="s">
        <v>74</v>
      </c>
      <c r="D275" t="s">
        <v>74</v>
      </c>
      <c r="E275" t="s">
        <v>74</v>
      </c>
      <c r="F275" t="s">
        <v>3823</v>
      </c>
      <c r="G275" t="s">
        <v>74</v>
      </c>
      <c r="H275" t="s">
        <v>74</v>
      </c>
      <c r="I275" t="s">
        <v>3824</v>
      </c>
      <c r="J275" t="s">
        <v>3825</v>
      </c>
      <c r="K275" t="s">
        <v>74</v>
      </c>
      <c r="L275" t="s">
        <v>74</v>
      </c>
      <c r="M275" t="s">
        <v>78</v>
      </c>
      <c r="N275" t="s">
        <v>775</v>
      </c>
      <c r="O275" t="s">
        <v>74</v>
      </c>
      <c r="P275" t="s">
        <v>74</v>
      </c>
      <c r="Q275" t="s">
        <v>74</v>
      </c>
      <c r="R275" t="s">
        <v>74</v>
      </c>
      <c r="S275" t="s">
        <v>74</v>
      </c>
      <c r="T275" t="s">
        <v>3826</v>
      </c>
      <c r="U275" t="s">
        <v>3827</v>
      </c>
      <c r="V275" t="s">
        <v>3828</v>
      </c>
      <c r="W275" t="s">
        <v>3829</v>
      </c>
      <c r="X275" t="s">
        <v>3830</v>
      </c>
      <c r="Y275" t="s">
        <v>3831</v>
      </c>
      <c r="Z275" t="s">
        <v>74</v>
      </c>
      <c r="AA275" t="s">
        <v>74</v>
      </c>
      <c r="AB275" t="s">
        <v>74</v>
      </c>
      <c r="AC275" t="s">
        <v>74</v>
      </c>
      <c r="AD275" t="s">
        <v>74</v>
      </c>
      <c r="AE275" t="s">
        <v>74</v>
      </c>
      <c r="AF275" t="s">
        <v>74</v>
      </c>
      <c r="AG275">
        <v>33</v>
      </c>
      <c r="AH275">
        <v>5</v>
      </c>
      <c r="AI275">
        <v>5</v>
      </c>
      <c r="AJ275">
        <v>0</v>
      </c>
      <c r="AK275">
        <v>7</v>
      </c>
      <c r="AL275" t="s">
        <v>3832</v>
      </c>
      <c r="AM275" t="s">
        <v>3730</v>
      </c>
      <c r="AN275" t="s">
        <v>3833</v>
      </c>
      <c r="AO275" t="s">
        <v>3834</v>
      </c>
      <c r="AP275" t="s">
        <v>74</v>
      </c>
      <c r="AQ275" t="s">
        <v>74</v>
      </c>
      <c r="AR275" t="s">
        <v>3835</v>
      </c>
      <c r="AS275" t="s">
        <v>3836</v>
      </c>
      <c r="AT275" t="s">
        <v>566</v>
      </c>
      <c r="AU275">
        <v>2003</v>
      </c>
      <c r="AV275" t="s">
        <v>74</v>
      </c>
      <c r="AW275">
        <v>1</v>
      </c>
      <c r="AX275" t="s">
        <v>74</v>
      </c>
      <c r="AY275" t="s">
        <v>74</v>
      </c>
      <c r="AZ275" t="s">
        <v>74</v>
      </c>
      <c r="BA275" t="s">
        <v>74</v>
      </c>
      <c r="BB275">
        <v>18</v>
      </c>
      <c r="BC275">
        <v>30</v>
      </c>
      <c r="BD275" t="s">
        <v>74</v>
      </c>
      <c r="BE275" t="s">
        <v>74</v>
      </c>
      <c r="BF275" t="s">
        <v>74</v>
      </c>
      <c r="BG275" t="s">
        <v>74</v>
      </c>
      <c r="BH275" t="s">
        <v>74</v>
      </c>
      <c r="BI275">
        <v>13</v>
      </c>
      <c r="BJ275" t="s">
        <v>3837</v>
      </c>
      <c r="BK275" t="s">
        <v>569</v>
      </c>
      <c r="BL275" t="s">
        <v>3837</v>
      </c>
      <c r="BM275" t="s">
        <v>3838</v>
      </c>
      <c r="BN275" t="s">
        <v>74</v>
      </c>
      <c r="BO275" t="s">
        <v>74</v>
      </c>
      <c r="BP275" t="s">
        <v>74</v>
      </c>
      <c r="BQ275" t="s">
        <v>74</v>
      </c>
      <c r="BR275" t="s">
        <v>98</v>
      </c>
      <c r="BS275" t="s">
        <v>3839</v>
      </c>
      <c r="BT275" t="str">
        <f>HYPERLINK("https%3A%2F%2Fwww.webofscience.com%2Fwos%2Fwoscc%2Ffull-record%2FWOS:000180705800002","View Full Record in Web of Science")</f>
        <v>View Full Record in Web of Science</v>
      </c>
    </row>
    <row r="276" spans="1:72" x14ac:dyDescent="0.15">
      <c r="A276" t="s">
        <v>552</v>
      </c>
      <c r="B276" t="s">
        <v>3840</v>
      </c>
      <c r="C276" t="s">
        <v>74</v>
      </c>
      <c r="D276" t="s">
        <v>74</v>
      </c>
      <c r="E276" t="s">
        <v>74</v>
      </c>
      <c r="F276" t="s">
        <v>3840</v>
      </c>
      <c r="G276" t="s">
        <v>74</v>
      </c>
      <c r="H276" t="s">
        <v>74</v>
      </c>
      <c r="I276" t="s">
        <v>3841</v>
      </c>
      <c r="J276" t="s">
        <v>3842</v>
      </c>
      <c r="K276" t="s">
        <v>74</v>
      </c>
      <c r="L276" t="s">
        <v>74</v>
      </c>
      <c r="M276" t="s">
        <v>78</v>
      </c>
      <c r="N276" t="s">
        <v>775</v>
      </c>
      <c r="O276" t="s">
        <v>74</v>
      </c>
      <c r="P276" t="s">
        <v>74</v>
      </c>
      <c r="Q276" t="s">
        <v>74</v>
      </c>
      <c r="R276" t="s">
        <v>74</v>
      </c>
      <c r="S276" t="s">
        <v>74</v>
      </c>
      <c r="T276" t="s">
        <v>74</v>
      </c>
      <c r="U276" t="s">
        <v>3843</v>
      </c>
      <c r="V276" t="s">
        <v>3844</v>
      </c>
      <c r="W276" t="s">
        <v>3845</v>
      </c>
      <c r="X276" t="s">
        <v>3846</v>
      </c>
      <c r="Y276" t="s">
        <v>3847</v>
      </c>
      <c r="Z276" t="s">
        <v>3848</v>
      </c>
      <c r="AA276" t="s">
        <v>3849</v>
      </c>
      <c r="AB276" t="s">
        <v>3850</v>
      </c>
      <c r="AC276" t="s">
        <v>74</v>
      </c>
      <c r="AD276" t="s">
        <v>74</v>
      </c>
      <c r="AE276" t="s">
        <v>74</v>
      </c>
      <c r="AF276" t="s">
        <v>74</v>
      </c>
      <c r="AG276">
        <v>24</v>
      </c>
      <c r="AH276">
        <v>51</v>
      </c>
      <c r="AI276">
        <v>60</v>
      </c>
      <c r="AJ276">
        <v>1</v>
      </c>
      <c r="AK276">
        <v>22</v>
      </c>
      <c r="AL276" t="s">
        <v>3851</v>
      </c>
      <c r="AM276" t="s">
        <v>2113</v>
      </c>
      <c r="AN276" t="s">
        <v>3852</v>
      </c>
      <c r="AO276" t="s">
        <v>3853</v>
      </c>
      <c r="AP276" t="s">
        <v>74</v>
      </c>
      <c r="AQ276" t="s">
        <v>74</v>
      </c>
      <c r="AR276" t="s">
        <v>3854</v>
      </c>
      <c r="AS276" t="s">
        <v>3855</v>
      </c>
      <c r="AT276" t="s">
        <v>74</v>
      </c>
      <c r="AU276">
        <v>2003</v>
      </c>
      <c r="AV276">
        <v>34</v>
      </c>
      <c r="AW276">
        <v>3</v>
      </c>
      <c r="AX276" t="s">
        <v>74</v>
      </c>
      <c r="AY276" t="s">
        <v>74</v>
      </c>
      <c r="AZ276" t="s">
        <v>74</v>
      </c>
      <c r="BA276" t="s">
        <v>74</v>
      </c>
      <c r="BB276">
        <v>245</v>
      </c>
      <c r="BC276">
        <v>266</v>
      </c>
      <c r="BD276" t="s">
        <v>74</v>
      </c>
      <c r="BE276" t="s">
        <v>74</v>
      </c>
      <c r="BF276" t="s">
        <v>74</v>
      </c>
      <c r="BG276" t="s">
        <v>74</v>
      </c>
      <c r="BH276" t="s">
        <v>74</v>
      </c>
      <c r="BI276">
        <v>22</v>
      </c>
      <c r="BJ276" t="s">
        <v>3856</v>
      </c>
      <c r="BK276" t="s">
        <v>569</v>
      </c>
      <c r="BL276" t="s">
        <v>3856</v>
      </c>
      <c r="BM276" t="s">
        <v>3857</v>
      </c>
      <c r="BN276" t="s">
        <v>74</v>
      </c>
      <c r="BO276" t="s">
        <v>74</v>
      </c>
      <c r="BP276" t="s">
        <v>74</v>
      </c>
      <c r="BQ276" t="s">
        <v>74</v>
      </c>
      <c r="BR276" t="s">
        <v>98</v>
      </c>
      <c r="BS276" t="s">
        <v>3858</v>
      </c>
      <c r="BT276" t="str">
        <f>HYPERLINK("https%3A%2F%2Fwww.webofscience.com%2Fwos%2Fwoscc%2Ffull-record%2FWOS:000184041700006","View Full Record in Web of Science")</f>
        <v>View Full Record in Web of Science</v>
      </c>
    </row>
    <row r="277" spans="1:72" x14ac:dyDescent="0.15">
      <c r="A277" t="s">
        <v>552</v>
      </c>
      <c r="B277" t="s">
        <v>3859</v>
      </c>
      <c r="C277" t="s">
        <v>74</v>
      </c>
      <c r="D277" t="s">
        <v>74</v>
      </c>
      <c r="E277" t="s">
        <v>74</v>
      </c>
      <c r="F277" t="s">
        <v>3859</v>
      </c>
      <c r="G277" t="s">
        <v>74</v>
      </c>
      <c r="H277" t="s">
        <v>74</v>
      </c>
      <c r="I277" t="s">
        <v>3860</v>
      </c>
      <c r="J277" t="s">
        <v>3861</v>
      </c>
      <c r="K277" t="s">
        <v>74</v>
      </c>
      <c r="L277" t="s">
        <v>74</v>
      </c>
      <c r="M277" t="s">
        <v>78</v>
      </c>
      <c r="N277" t="s">
        <v>775</v>
      </c>
      <c r="O277" t="s">
        <v>74</v>
      </c>
      <c r="P277" t="s">
        <v>74</v>
      </c>
      <c r="Q277" t="s">
        <v>74</v>
      </c>
      <c r="R277" t="s">
        <v>74</v>
      </c>
      <c r="S277" t="s">
        <v>74</v>
      </c>
      <c r="T277" t="s">
        <v>3862</v>
      </c>
      <c r="U277" t="s">
        <v>3863</v>
      </c>
      <c r="V277" t="s">
        <v>3864</v>
      </c>
      <c r="W277" t="s">
        <v>3865</v>
      </c>
      <c r="X277" t="s">
        <v>3866</v>
      </c>
      <c r="Y277" t="s">
        <v>3867</v>
      </c>
      <c r="Z277" t="s">
        <v>74</v>
      </c>
      <c r="AA277" t="s">
        <v>74</v>
      </c>
      <c r="AB277" t="s">
        <v>74</v>
      </c>
      <c r="AC277" t="s">
        <v>74</v>
      </c>
      <c r="AD277" t="s">
        <v>74</v>
      </c>
      <c r="AE277" t="s">
        <v>74</v>
      </c>
      <c r="AF277" t="s">
        <v>74</v>
      </c>
      <c r="AG277">
        <v>29</v>
      </c>
      <c r="AH277">
        <v>3</v>
      </c>
      <c r="AI277">
        <v>4</v>
      </c>
      <c r="AJ277">
        <v>0</v>
      </c>
      <c r="AK277">
        <v>1</v>
      </c>
      <c r="AL277" t="s">
        <v>3729</v>
      </c>
      <c r="AM277" t="s">
        <v>3730</v>
      </c>
      <c r="AN277" t="s">
        <v>3731</v>
      </c>
      <c r="AO277" t="s">
        <v>3868</v>
      </c>
      <c r="AP277" t="s">
        <v>74</v>
      </c>
      <c r="AQ277" t="s">
        <v>74</v>
      </c>
      <c r="AR277" t="s">
        <v>3861</v>
      </c>
      <c r="AS277" t="s">
        <v>3869</v>
      </c>
      <c r="AT277" t="s">
        <v>74</v>
      </c>
      <c r="AU277">
        <v>2003</v>
      </c>
      <c r="AV277">
        <v>77</v>
      </c>
      <c r="AW277" t="s">
        <v>1866</v>
      </c>
      <c r="AX277" t="s">
        <v>74</v>
      </c>
      <c r="AY277" t="s">
        <v>74</v>
      </c>
      <c r="AZ277" t="s">
        <v>74</v>
      </c>
      <c r="BA277" t="s">
        <v>74</v>
      </c>
      <c r="BB277">
        <v>199</v>
      </c>
      <c r="BC277">
        <v>211</v>
      </c>
      <c r="BD277" t="s">
        <v>74</v>
      </c>
      <c r="BE277" t="s">
        <v>3870</v>
      </c>
      <c r="BF277" t="str">
        <f>HYPERLINK("http://dx.doi.org/10.1127/0029-5035/2003/0077-0199","http://dx.doi.org/10.1127/0029-5035/2003/0077-0199")</f>
        <v>http://dx.doi.org/10.1127/0029-5035/2003/0077-0199</v>
      </c>
      <c r="BG277" t="s">
        <v>74</v>
      </c>
      <c r="BH277" t="s">
        <v>74</v>
      </c>
      <c r="BI277">
        <v>13</v>
      </c>
      <c r="BJ277" t="s">
        <v>2326</v>
      </c>
      <c r="BK277" t="s">
        <v>569</v>
      </c>
      <c r="BL277" t="s">
        <v>2326</v>
      </c>
      <c r="BM277" t="s">
        <v>3871</v>
      </c>
      <c r="BN277" t="s">
        <v>74</v>
      </c>
      <c r="BO277" t="s">
        <v>74</v>
      </c>
      <c r="BP277" t="s">
        <v>74</v>
      </c>
      <c r="BQ277" t="s">
        <v>74</v>
      </c>
      <c r="BR277" t="s">
        <v>98</v>
      </c>
      <c r="BS277" t="s">
        <v>3872</v>
      </c>
      <c r="BT277" t="str">
        <f>HYPERLINK("https%3A%2F%2Fwww.webofscience.com%2Fwos%2Fwoscc%2Ffull-record%2FWOS:000185561400015","View Full Record in Web of Science")</f>
        <v>View Full Record in Web of Science</v>
      </c>
    </row>
    <row r="278" spans="1:72" x14ac:dyDescent="0.15">
      <c r="A278" t="s">
        <v>552</v>
      </c>
      <c r="B278" t="s">
        <v>3873</v>
      </c>
      <c r="C278" t="s">
        <v>74</v>
      </c>
      <c r="D278" t="s">
        <v>74</v>
      </c>
      <c r="E278" t="s">
        <v>74</v>
      </c>
      <c r="F278" t="s">
        <v>3873</v>
      </c>
      <c r="G278" t="s">
        <v>74</v>
      </c>
      <c r="H278" t="s">
        <v>74</v>
      </c>
      <c r="I278" t="s">
        <v>3874</v>
      </c>
      <c r="J278" t="s">
        <v>3861</v>
      </c>
      <c r="K278" t="s">
        <v>74</v>
      </c>
      <c r="L278" t="s">
        <v>74</v>
      </c>
      <c r="M278" t="s">
        <v>78</v>
      </c>
      <c r="N278" t="s">
        <v>775</v>
      </c>
      <c r="O278" t="s">
        <v>74</v>
      </c>
      <c r="P278" t="s">
        <v>74</v>
      </c>
      <c r="Q278" t="s">
        <v>74</v>
      </c>
      <c r="R278" t="s">
        <v>74</v>
      </c>
      <c r="S278" t="s">
        <v>74</v>
      </c>
      <c r="T278" t="s">
        <v>74</v>
      </c>
      <c r="U278" t="s">
        <v>3875</v>
      </c>
      <c r="V278" t="s">
        <v>3876</v>
      </c>
      <c r="W278" t="s">
        <v>3877</v>
      </c>
      <c r="X278" t="s">
        <v>3878</v>
      </c>
      <c r="Y278" t="s">
        <v>3879</v>
      </c>
      <c r="Z278" t="s">
        <v>74</v>
      </c>
      <c r="AA278" t="s">
        <v>74</v>
      </c>
      <c r="AB278" t="s">
        <v>3880</v>
      </c>
      <c r="AC278" t="s">
        <v>74</v>
      </c>
      <c r="AD278" t="s">
        <v>74</v>
      </c>
      <c r="AE278" t="s">
        <v>74</v>
      </c>
      <c r="AF278" t="s">
        <v>74</v>
      </c>
      <c r="AG278">
        <v>30</v>
      </c>
      <c r="AH278">
        <v>15</v>
      </c>
      <c r="AI278">
        <v>16</v>
      </c>
      <c r="AJ278">
        <v>0</v>
      </c>
      <c r="AK278">
        <v>2</v>
      </c>
      <c r="AL278" t="s">
        <v>3729</v>
      </c>
      <c r="AM278" t="s">
        <v>3730</v>
      </c>
      <c r="AN278" t="s">
        <v>3731</v>
      </c>
      <c r="AO278" t="s">
        <v>3868</v>
      </c>
      <c r="AP278" t="s">
        <v>3881</v>
      </c>
      <c r="AQ278" t="s">
        <v>74</v>
      </c>
      <c r="AR278" t="s">
        <v>3861</v>
      </c>
      <c r="AS278" t="s">
        <v>3869</v>
      </c>
      <c r="AT278" t="s">
        <v>74</v>
      </c>
      <c r="AU278">
        <v>2003</v>
      </c>
      <c r="AV278">
        <v>77</v>
      </c>
      <c r="AW278" t="s">
        <v>1424</v>
      </c>
      <c r="AX278" t="s">
        <v>74</v>
      </c>
      <c r="AY278" t="s">
        <v>74</v>
      </c>
      <c r="AZ278" t="s">
        <v>74</v>
      </c>
      <c r="BA278" t="s">
        <v>74</v>
      </c>
      <c r="BB278">
        <v>363</v>
      </c>
      <c r="BC278">
        <v>372</v>
      </c>
      <c r="BD278" t="s">
        <v>74</v>
      </c>
      <c r="BE278" t="s">
        <v>3882</v>
      </c>
      <c r="BF278" t="str">
        <f>HYPERLINK("http://dx.doi.org/10.1127/0029-5035/2003/0077-0363","http://dx.doi.org/10.1127/0029-5035/2003/0077-0363")</f>
        <v>http://dx.doi.org/10.1127/0029-5035/2003/0077-0363</v>
      </c>
      <c r="BG278" t="s">
        <v>74</v>
      </c>
      <c r="BH278" t="s">
        <v>74</v>
      </c>
      <c r="BI278">
        <v>10</v>
      </c>
      <c r="BJ278" t="s">
        <v>2326</v>
      </c>
      <c r="BK278" t="s">
        <v>569</v>
      </c>
      <c r="BL278" t="s">
        <v>2326</v>
      </c>
      <c r="BM278" t="s">
        <v>3883</v>
      </c>
      <c r="BN278" t="s">
        <v>74</v>
      </c>
      <c r="BO278" t="s">
        <v>74</v>
      </c>
      <c r="BP278" t="s">
        <v>74</v>
      </c>
      <c r="BQ278" t="s">
        <v>74</v>
      </c>
      <c r="BR278" t="s">
        <v>98</v>
      </c>
      <c r="BS278" t="s">
        <v>3884</v>
      </c>
      <c r="BT278" t="str">
        <f>HYPERLINK("https%3A%2F%2Fwww.webofscience.com%2Fwos%2Fwoscc%2Ffull-record%2FWOS:000187422500008","View Full Record in Web of Science")</f>
        <v>View Full Record in Web of Science</v>
      </c>
    </row>
    <row r="279" spans="1:72" x14ac:dyDescent="0.15">
      <c r="A279" t="s">
        <v>72</v>
      </c>
      <c r="B279" t="s">
        <v>3885</v>
      </c>
      <c r="C279" t="s">
        <v>74</v>
      </c>
      <c r="D279" t="s">
        <v>3886</v>
      </c>
      <c r="E279" t="s">
        <v>74</v>
      </c>
      <c r="F279" t="s">
        <v>3885</v>
      </c>
      <c r="G279" t="s">
        <v>74</v>
      </c>
      <c r="H279" t="s">
        <v>74</v>
      </c>
      <c r="I279" t="s">
        <v>3887</v>
      </c>
      <c r="J279" t="s">
        <v>3888</v>
      </c>
      <c r="K279" t="s">
        <v>3889</v>
      </c>
      <c r="L279" t="s">
        <v>74</v>
      </c>
      <c r="M279" t="s">
        <v>78</v>
      </c>
      <c r="N279" t="s">
        <v>79</v>
      </c>
      <c r="O279" t="s">
        <v>3890</v>
      </c>
      <c r="P279" t="s">
        <v>3891</v>
      </c>
      <c r="Q279" t="s">
        <v>3892</v>
      </c>
      <c r="R279" t="s">
        <v>74</v>
      </c>
      <c r="S279" t="s">
        <v>74</v>
      </c>
      <c r="T279" t="s">
        <v>74</v>
      </c>
      <c r="U279" t="s">
        <v>3893</v>
      </c>
      <c r="V279" t="s">
        <v>3894</v>
      </c>
      <c r="W279" t="s">
        <v>3895</v>
      </c>
      <c r="X279" t="s">
        <v>3896</v>
      </c>
      <c r="Y279" t="s">
        <v>3897</v>
      </c>
      <c r="Z279" t="s">
        <v>74</v>
      </c>
      <c r="AA279" t="s">
        <v>74</v>
      </c>
      <c r="AB279" t="s">
        <v>74</v>
      </c>
      <c r="AC279" t="s">
        <v>74</v>
      </c>
      <c r="AD279" t="s">
        <v>74</v>
      </c>
      <c r="AE279" t="s">
        <v>74</v>
      </c>
      <c r="AF279" t="s">
        <v>74</v>
      </c>
      <c r="AG279">
        <v>108</v>
      </c>
      <c r="AH279">
        <v>2</v>
      </c>
      <c r="AI279">
        <v>3</v>
      </c>
      <c r="AJ279">
        <v>1</v>
      </c>
      <c r="AK279">
        <v>11</v>
      </c>
      <c r="AL279" t="s">
        <v>3898</v>
      </c>
      <c r="AM279" t="s">
        <v>3899</v>
      </c>
      <c r="AN279" t="s">
        <v>3900</v>
      </c>
      <c r="AO279" t="s">
        <v>3901</v>
      </c>
      <c r="AP279" t="s">
        <v>74</v>
      </c>
      <c r="AQ279" t="s">
        <v>3902</v>
      </c>
      <c r="AR279" t="s">
        <v>3903</v>
      </c>
      <c r="AS279" t="s">
        <v>3904</v>
      </c>
      <c r="AT279" t="s">
        <v>74</v>
      </c>
      <c r="AU279">
        <v>2003</v>
      </c>
      <c r="AV279">
        <v>34</v>
      </c>
      <c r="AW279" t="s">
        <v>74</v>
      </c>
      <c r="AX279" t="s">
        <v>74</v>
      </c>
      <c r="AY279" t="s">
        <v>74</v>
      </c>
      <c r="AZ279" t="s">
        <v>74</v>
      </c>
      <c r="BA279" t="s">
        <v>74</v>
      </c>
      <c r="BB279">
        <v>17</v>
      </c>
      <c r="BC279">
        <v>31</v>
      </c>
      <c r="BD279" t="s">
        <v>74</v>
      </c>
      <c r="BE279" t="s">
        <v>74</v>
      </c>
      <c r="BF279" t="s">
        <v>74</v>
      </c>
      <c r="BG279" t="s">
        <v>74</v>
      </c>
      <c r="BH279" t="s">
        <v>74</v>
      </c>
      <c r="BI279">
        <v>15</v>
      </c>
      <c r="BJ279" t="s">
        <v>3905</v>
      </c>
      <c r="BK279" t="s">
        <v>95</v>
      </c>
      <c r="BL279" t="s">
        <v>3906</v>
      </c>
      <c r="BM279" t="s">
        <v>3907</v>
      </c>
      <c r="BN279" t="s">
        <v>74</v>
      </c>
      <c r="BO279" t="s">
        <v>74</v>
      </c>
      <c r="BP279" t="s">
        <v>74</v>
      </c>
      <c r="BQ279" t="s">
        <v>74</v>
      </c>
      <c r="BR279" t="s">
        <v>98</v>
      </c>
      <c r="BS279" t="s">
        <v>3908</v>
      </c>
      <c r="BT279" t="str">
        <f>HYPERLINK("https%3A%2F%2Fwww.webofscience.com%2Fwos%2Fwoscc%2Ffull-record%2FWOS:000181552500002","View Full Record in Web of Science")</f>
        <v>View Full Record in Web of Science</v>
      </c>
    </row>
    <row r="280" spans="1:72" x14ac:dyDescent="0.15">
      <c r="A280" t="s">
        <v>552</v>
      </c>
      <c r="B280" t="s">
        <v>3909</v>
      </c>
      <c r="C280" t="s">
        <v>74</v>
      </c>
      <c r="D280" t="s">
        <v>74</v>
      </c>
      <c r="E280" t="s">
        <v>74</v>
      </c>
      <c r="F280" t="s">
        <v>3909</v>
      </c>
      <c r="G280" t="s">
        <v>74</v>
      </c>
      <c r="H280" t="s">
        <v>74</v>
      </c>
      <c r="I280" t="s">
        <v>3910</v>
      </c>
      <c r="J280" t="s">
        <v>3911</v>
      </c>
      <c r="K280" t="s">
        <v>74</v>
      </c>
      <c r="L280" t="s">
        <v>74</v>
      </c>
      <c r="M280" t="s">
        <v>78</v>
      </c>
      <c r="N280" t="s">
        <v>775</v>
      </c>
      <c r="O280" t="s">
        <v>74</v>
      </c>
      <c r="P280" t="s">
        <v>74</v>
      </c>
      <c r="Q280" t="s">
        <v>74</v>
      </c>
      <c r="R280" t="s">
        <v>74</v>
      </c>
      <c r="S280" t="s">
        <v>74</v>
      </c>
      <c r="T280" t="s">
        <v>74</v>
      </c>
      <c r="U280" t="s">
        <v>3912</v>
      </c>
      <c r="V280" t="s">
        <v>3913</v>
      </c>
      <c r="W280" t="s">
        <v>3914</v>
      </c>
      <c r="X280" t="s">
        <v>1592</v>
      </c>
      <c r="Y280" t="s">
        <v>3915</v>
      </c>
      <c r="Z280" t="s">
        <v>74</v>
      </c>
      <c r="AA280" t="s">
        <v>3916</v>
      </c>
      <c r="AB280" t="s">
        <v>3917</v>
      </c>
      <c r="AC280" t="s">
        <v>74</v>
      </c>
      <c r="AD280" t="s">
        <v>74</v>
      </c>
      <c r="AE280" t="s">
        <v>74</v>
      </c>
      <c r="AF280" t="s">
        <v>74</v>
      </c>
      <c r="AG280">
        <v>39</v>
      </c>
      <c r="AH280">
        <v>12</v>
      </c>
      <c r="AI280">
        <v>13</v>
      </c>
      <c r="AJ280">
        <v>0</v>
      </c>
      <c r="AK280">
        <v>5</v>
      </c>
      <c r="AL280" t="s">
        <v>1974</v>
      </c>
      <c r="AM280" t="s">
        <v>807</v>
      </c>
      <c r="AN280" t="s">
        <v>1975</v>
      </c>
      <c r="AO280" t="s">
        <v>3918</v>
      </c>
      <c r="AP280" t="s">
        <v>74</v>
      </c>
      <c r="AQ280" t="s">
        <v>74</v>
      </c>
      <c r="AR280" t="s">
        <v>3919</v>
      </c>
      <c r="AS280" t="s">
        <v>3920</v>
      </c>
      <c r="AT280" t="s">
        <v>74</v>
      </c>
      <c r="AU280">
        <v>2003</v>
      </c>
      <c r="AV280">
        <v>46</v>
      </c>
      <c r="AW280" t="s">
        <v>3921</v>
      </c>
      <c r="AX280" t="s">
        <v>74</v>
      </c>
      <c r="AY280" t="s">
        <v>74</v>
      </c>
      <c r="AZ280" t="s">
        <v>74</v>
      </c>
      <c r="BA280" t="s">
        <v>74</v>
      </c>
      <c r="BB280">
        <v>547</v>
      </c>
      <c r="BC280">
        <v>563</v>
      </c>
      <c r="BD280" t="s">
        <v>74</v>
      </c>
      <c r="BE280" t="s">
        <v>3922</v>
      </c>
      <c r="BF280" t="str">
        <f>HYPERLINK("http://dx.doi.org/10.1016/S0964-5691(03)00034-6","http://dx.doi.org/10.1016/S0964-5691(03)00034-6")</f>
        <v>http://dx.doi.org/10.1016/S0964-5691(03)00034-6</v>
      </c>
      <c r="BG280" t="s">
        <v>74</v>
      </c>
      <c r="BH280" t="s">
        <v>74</v>
      </c>
      <c r="BI280">
        <v>17</v>
      </c>
      <c r="BJ280" t="s">
        <v>3923</v>
      </c>
      <c r="BK280" t="s">
        <v>569</v>
      </c>
      <c r="BL280" t="s">
        <v>3923</v>
      </c>
      <c r="BM280" t="s">
        <v>3924</v>
      </c>
      <c r="BN280" t="s">
        <v>74</v>
      </c>
      <c r="BO280" t="s">
        <v>1574</v>
      </c>
      <c r="BP280" t="s">
        <v>74</v>
      </c>
      <c r="BQ280" t="s">
        <v>74</v>
      </c>
      <c r="BR280" t="s">
        <v>98</v>
      </c>
      <c r="BS280" t="s">
        <v>3925</v>
      </c>
      <c r="BT280" t="str">
        <f>HYPERLINK("https%3A%2F%2Fwww.webofscience.com%2Fwos%2Fwoscc%2Ffull-record%2FWOS:000184145500004","View Full Record in Web of Science")</f>
        <v>View Full Record in Web of Science</v>
      </c>
    </row>
    <row r="281" spans="1:72" x14ac:dyDescent="0.15">
      <c r="A281" t="s">
        <v>552</v>
      </c>
      <c r="B281" t="s">
        <v>3926</v>
      </c>
      <c r="C281" t="s">
        <v>74</v>
      </c>
      <c r="D281" t="s">
        <v>74</v>
      </c>
      <c r="E281" t="s">
        <v>74</v>
      </c>
      <c r="F281" t="s">
        <v>3926</v>
      </c>
      <c r="G281" t="s">
        <v>74</v>
      </c>
      <c r="H281" t="s">
        <v>74</v>
      </c>
      <c r="I281" t="s">
        <v>3927</v>
      </c>
      <c r="J281" t="s">
        <v>3928</v>
      </c>
      <c r="K281" t="s">
        <v>74</v>
      </c>
      <c r="L281" t="s">
        <v>74</v>
      </c>
      <c r="M281" t="s">
        <v>78</v>
      </c>
      <c r="N281" t="s">
        <v>775</v>
      </c>
      <c r="O281" t="s">
        <v>74</v>
      </c>
      <c r="P281" t="s">
        <v>74</v>
      </c>
      <c r="Q281" t="s">
        <v>74</v>
      </c>
      <c r="R281" t="s">
        <v>74</v>
      </c>
      <c r="S281" t="s">
        <v>74</v>
      </c>
      <c r="T281" t="s">
        <v>3929</v>
      </c>
      <c r="U281" t="s">
        <v>3930</v>
      </c>
      <c r="V281" t="s">
        <v>3931</v>
      </c>
      <c r="W281" t="s">
        <v>3932</v>
      </c>
      <c r="X281" t="s">
        <v>3933</v>
      </c>
      <c r="Y281" t="s">
        <v>3934</v>
      </c>
      <c r="Z281" t="s">
        <v>74</v>
      </c>
      <c r="AA281" t="s">
        <v>3935</v>
      </c>
      <c r="AB281" t="s">
        <v>3936</v>
      </c>
      <c r="AC281" t="s">
        <v>74</v>
      </c>
      <c r="AD281" t="s">
        <v>74</v>
      </c>
      <c r="AE281" t="s">
        <v>74</v>
      </c>
      <c r="AF281" t="s">
        <v>74</v>
      </c>
      <c r="AG281">
        <v>78</v>
      </c>
      <c r="AH281">
        <v>735</v>
      </c>
      <c r="AI281">
        <v>774</v>
      </c>
      <c r="AJ281">
        <v>1</v>
      </c>
      <c r="AK281">
        <v>84</v>
      </c>
      <c r="AL281" t="s">
        <v>1974</v>
      </c>
      <c r="AM281" t="s">
        <v>807</v>
      </c>
      <c r="AN281" t="s">
        <v>1975</v>
      </c>
      <c r="AO281" t="s">
        <v>3937</v>
      </c>
      <c r="AP281" t="s">
        <v>74</v>
      </c>
      <c r="AQ281" t="s">
        <v>74</v>
      </c>
      <c r="AR281" t="s">
        <v>3938</v>
      </c>
      <c r="AS281" t="s">
        <v>3939</v>
      </c>
      <c r="AT281" t="s">
        <v>74</v>
      </c>
      <c r="AU281">
        <v>2003</v>
      </c>
      <c r="AV281">
        <v>5</v>
      </c>
      <c r="AW281">
        <v>2</v>
      </c>
      <c r="AX281" t="s">
        <v>74</v>
      </c>
      <c r="AY281" t="s">
        <v>74</v>
      </c>
      <c r="AZ281" t="s">
        <v>74</v>
      </c>
      <c r="BA281" t="s">
        <v>74</v>
      </c>
      <c r="BB281">
        <v>91</v>
      </c>
      <c r="BC281">
        <v>127</v>
      </c>
      <c r="BD281" t="s">
        <v>3940</v>
      </c>
      <c r="BE281" t="s">
        <v>3941</v>
      </c>
      <c r="BF281" t="str">
        <f>HYPERLINK("http://dx.doi.org/10.1016/S1463-5003(02)00015-X","http://dx.doi.org/10.1016/S1463-5003(02)00015-X")</f>
        <v>http://dx.doi.org/10.1016/S1463-5003(02)00015-X</v>
      </c>
      <c r="BG281" t="s">
        <v>74</v>
      </c>
      <c r="BH281" t="s">
        <v>74</v>
      </c>
      <c r="BI281">
        <v>37</v>
      </c>
      <c r="BJ281" t="s">
        <v>2497</v>
      </c>
      <c r="BK281" t="s">
        <v>569</v>
      </c>
      <c r="BL281" t="s">
        <v>2497</v>
      </c>
      <c r="BM281" t="s">
        <v>3942</v>
      </c>
      <c r="BN281" t="s">
        <v>74</v>
      </c>
      <c r="BO281" t="s">
        <v>74</v>
      </c>
      <c r="BP281" t="s">
        <v>74</v>
      </c>
      <c r="BQ281" t="s">
        <v>74</v>
      </c>
      <c r="BR281" t="s">
        <v>98</v>
      </c>
      <c r="BS281" t="s">
        <v>3943</v>
      </c>
      <c r="BT281" t="str">
        <f>HYPERLINK("https%3A%2F%2Fwww.webofscience.com%2Fwos%2Fwoscc%2Ffull-record%2FWOS:000184627500001","View Full Record in Web of Science")</f>
        <v>View Full Record in Web of Science</v>
      </c>
    </row>
    <row r="282" spans="1:72" x14ac:dyDescent="0.15">
      <c r="A282" t="s">
        <v>552</v>
      </c>
      <c r="B282" t="s">
        <v>3944</v>
      </c>
      <c r="C282" t="s">
        <v>74</v>
      </c>
      <c r="D282" t="s">
        <v>74</v>
      </c>
      <c r="E282" t="s">
        <v>74</v>
      </c>
      <c r="F282" t="s">
        <v>3944</v>
      </c>
      <c r="G282" t="s">
        <v>74</v>
      </c>
      <c r="H282" t="s">
        <v>74</v>
      </c>
      <c r="I282" t="s">
        <v>3945</v>
      </c>
      <c r="J282" t="s">
        <v>3928</v>
      </c>
      <c r="K282" t="s">
        <v>74</v>
      </c>
      <c r="L282" t="s">
        <v>74</v>
      </c>
      <c r="M282" t="s">
        <v>78</v>
      </c>
      <c r="N282" t="s">
        <v>775</v>
      </c>
      <c r="O282" t="s">
        <v>74</v>
      </c>
      <c r="P282" t="s">
        <v>74</v>
      </c>
      <c r="Q282" t="s">
        <v>74</v>
      </c>
      <c r="R282" t="s">
        <v>74</v>
      </c>
      <c r="S282" t="s">
        <v>74</v>
      </c>
      <c r="T282" t="s">
        <v>3946</v>
      </c>
      <c r="U282" t="s">
        <v>3947</v>
      </c>
      <c r="V282" t="s">
        <v>3948</v>
      </c>
      <c r="W282" t="s">
        <v>3949</v>
      </c>
      <c r="X282" t="s">
        <v>3950</v>
      </c>
      <c r="Y282" t="s">
        <v>3951</v>
      </c>
      <c r="Z282" t="s">
        <v>3952</v>
      </c>
      <c r="AA282" t="s">
        <v>74</v>
      </c>
      <c r="AB282" t="s">
        <v>74</v>
      </c>
      <c r="AC282" t="s">
        <v>74</v>
      </c>
      <c r="AD282" t="s">
        <v>74</v>
      </c>
      <c r="AE282" t="s">
        <v>74</v>
      </c>
      <c r="AF282" t="s">
        <v>74</v>
      </c>
      <c r="AG282">
        <v>31</v>
      </c>
      <c r="AH282">
        <v>112</v>
      </c>
      <c r="AI282">
        <v>119</v>
      </c>
      <c r="AJ282">
        <v>0</v>
      </c>
      <c r="AK282">
        <v>16</v>
      </c>
      <c r="AL282" t="s">
        <v>1974</v>
      </c>
      <c r="AM282" t="s">
        <v>807</v>
      </c>
      <c r="AN282" t="s">
        <v>1975</v>
      </c>
      <c r="AO282" t="s">
        <v>3937</v>
      </c>
      <c r="AP282" t="s">
        <v>3953</v>
      </c>
      <c r="AQ282" t="s">
        <v>74</v>
      </c>
      <c r="AR282" t="s">
        <v>3938</v>
      </c>
      <c r="AS282" t="s">
        <v>3939</v>
      </c>
      <c r="AT282" t="s">
        <v>74</v>
      </c>
      <c r="AU282">
        <v>2003</v>
      </c>
      <c r="AV282">
        <v>5</v>
      </c>
      <c r="AW282">
        <v>2</v>
      </c>
      <c r="AX282" t="s">
        <v>74</v>
      </c>
      <c r="AY282" t="s">
        <v>74</v>
      </c>
      <c r="AZ282" t="s">
        <v>74</v>
      </c>
      <c r="BA282" t="s">
        <v>74</v>
      </c>
      <c r="BB282">
        <v>157</v>
      </c>
      <c r="BC282">
        <v>170</v>
      </c>
      <c r="BD282" t="s">
        <v>3954</v>
      </c>
      <c r="BE282" t="s">
        <v>3955</v>
      </c>
      <c r="BF282" t="str">
        <f>HYPERLINK("http://dx.doi.org/10.1016/S1463-5003(02)00019-7","http://dx.doi.org/10.1016/S1463-5003(02)00019-7")</f>
        <v>http://dx.doi.org/10.1016/S1463-5003(02)00019-7</v>
      </c>
      <c r="BG282" t="s">
        <v>74</v>
      </c>
      <c r="BH282" t="s">
        <v>74</v>
      </c>
      <c r="BI282">
        <v>14</v>
      </c>
      <c r="BJ282" t="s">
        <v>2497</v>
      </c>
      <c r="BK282" t="s">
        <v>569</v>
      </c>
      <c r="BL282" t="s">
        <v>2497</v>
      </c>
      <c r="BM282" t="s">
        <v>3942</v>
      </c>
      <c r="BN282" t="s">
        <v>74</v>
      </c>
      <c r="BO282" t="s">
        <v>74</v>
      </c>
      <c r="BP282" t="s">
        <v>74</v>
      </c>
      <c r="BQ282" t="s">
        <v>74</v>
      </c>
      <c r="BR282" t="s">
        <v>98</v>
      </c>
      <c r="BS282" t="s">
        <v>3956</v>
      </c>
      <c r="BT282" t="str">
        <f>HYPERLINK("https%3A%2F%2Fwww.webofscience.com%2Fwos%2Fwoscc%2Ffull-record%2FWOS:000184627500003","View Full Record in Web of Science")</f>
        <v>View Full Record in Web of Science</v>
      </c>
    </row>
    <row r="283" spans="1:72" x14ac:dyDescent="0.15">
      <c r="A283" t="s">
        <v>552</v>
      </c>
      <c r="B283" t="s">
        <v>3957</v>
      </c>
      <c r="C283" t="s">
        <v>74</v>
      </c>
      <c r="D283" t="s">
        <v>74</v>
      </c>
      <c r="E283" t="s">
        <v>74</v>
      </c>
      <c r="F283" t="s">
        <v>3957</v>
      </c>
      <c r="G283" t="s">
        <v>74</v>
      </c>
      <c r="H283" t="s">
        <v>74</v>
      </c>
      <c r="I283" t="s">
        <v>3958</v>
      </c>
      <c r="J283" t="s">
        <v>3928</v>
      </c>
      <c r="K283" t="s">
        <v>74</v>
      </c>
      <c r="L283" t="s">
        <v>74</v>
      </c>
      <c r="M283" t="s">
        <v>78</v>
      </c>
      <c r="N283" t="s">
        <v>775</v>
      </c>
      <c r="O283" t="s">
        <v>74</v>
      </c>
      <c r="P283" t="s">
        <v>74</v>
      </c>
      <c r="Q283" t="s">
        <v>74</v>
      </c>
      <c r="R283" t="s">
        <v>74</v>
      </c>
      <c r="S283" t="s">
        <v>74</v>
      </c>
      <c r="T283" t="s">
        <v>3959</v>
      </c>
      <c r="U283" t="s">
        <v>3960</v>
      </c>
      <c r="V283" t="s">
        <v>3961</v>
      </c>
      <c r="W283" t="s">
        <v>3962</v>
      </c>
      <c r="X283" t="s">
        <v>3963</v>
      </c>
      <c r="Y283" t="s">
        <v>3964</v>
      </c>
      <c r="Z283" t="s">
        <v>74</v>
      </c>
      <c r="AA283" t="s">
        <v>74</v>
      </c>
      <c r="AB283" t="s">
        <v>74</v>
      </c>
      <c r="AC283" t="s">
        <v>74</v>
      </c>
      <c r="AD283" t="s">
        <v>74</v>
      </c>
      <c r="AE283" t="s">
        <v>74</v>
      </c>
      <c r="AF283" t="s">
        <v>74</v>
      </c>
      <c r="AG283">
        <v>24</v>
      </c>
      <c r="AH283">
        <v>34</v>
      </c>
      <c r="AI283">
        <v>39</v>
      </c>
      <c r="AJ283">
        <v>1</v>
      </c>
      <c r="AK283">
        <v>3</v>
      </c>
      <c r="AL283" t="s">
        <v>1974</v>
      </c>
      <c r="AM283" t="s">
        <v>807</v>
      </c>
      <c r="AN283" t="s">
        <v>1975</v>
      </c>
      <c r="AO283" t="s">
        <v>3937</v>
      </c>
      <c r="AP283" t="s">
        <v>74</v>
      </c>
      <c r="AQ283" t="s">
        <v>74</v>
      </c>
      <c r="AR283" t="s">
        <v>3938</v>
      </c>
      <c r="AS283" t="s">
        <v>3939</v>
      </c>
      <c r="AT283" t="s">
        <v>74</v>
      </c>
      <c r="AU283">
        <v>2003</v>
      </c>
      <c r="AV283">
        <v>5</v>
      </c>
      <c r="AW283">
        <v>3</v>
      </c>
      <c r="AX283" t="s">
        <v>74</v>
      </c>
      <c r="AY283" t="s">
        <v>74</v>
      </c>
      <c r="AZ283" t="s">
        <v>74</v>
      </c>
      <c r="BA283" t="s">
        <v>74</v>
      </c>
      <c r="BB283">
        <v>249</v>
      </c>
      <c r="BC283">
        <v>266</v>
      </c>
      <c r="BD283" t="s">
        <v>3965</v>
      </c>
      <c r="BE283" t="s">
        <v>3966</v>
      </c>
      <c r="BF283" t="str">
        <f>HYPERLINK("http://dx.doi.org/10.1016/S1463-5003(02)00044-6","http://dx.doi.org/10.1016/S1463-5003(02)00044-6")</f>
        <v>http://dx.doi.org/10.1016/S1463-5003(02)00044-6</v>
      </c>
      <c r="BG283" t="s">
        <v>74</v>
      </c>
      <c r="BH283" t="s">
        <v>74</v>
      </c>
      <c r="BI283">
        <v>18</v>
      </c>
      <c r="BJ283" t="s">
        <v>2497</v>
      </c>
      <c r="BK283" t="s">
        <v>569</v>
      </c>
      <c r="BL283" t="s">
        <v>2497</v>
      </c>
      <c r="BM283" t="s">
        <v>3967</v>
      </c>
      <c r="BN283" t="s">
        <v>74</v>
      </c>
      <c r="BO283" t="s">
        <v>74</v>
      </c>
      <c r="BP283" t="s">
        <v>74</v>
      </c>
      <c r="BQ283" t="s">
        <v>74</v>
      </c>
      <c r="BR283" t="s">
        <v>98</v>
      </c>
      <c r="BS283" t="s">
        <v>3968</v>
      </c>
      <c r="BT283" t="str">
        <f>HYPERLINK("https%3A%2F%2Fwww.webofscience.com%2Fwos%2Fwoscc%2Ffull-record%2FWOS:000184627600004","View Full Record in Web of Science")</f>
        <v>View Full Record in Web of Science</v>
      </c>
    </row>
    <row r="284" spans="1:72" x14ac:dyDescent="0.15">
      <c r="A284" t="s">
        <v>72</v>
      </c>
      <c r="B284" t="s">
        <v>3969</v>
      </c>
      <c r="C284" t="s">
        <v>74</v>
      </c>
      <c r="D284" t="s">
        <v>3970</v>
      </c>
      <c r="E284" t="s">
        <v>74</v>
      </c>
      <c r="F284" t="s">
        <v>3969</v>
      </c>
      <c r="G284" t="s">
        <v>74</v>
      </c>
      <c r="H284" t="s">
        <v>74</v>
      </c>
      <c r="I284" t="s">
        <v>3971</v>
      </c>
      <c r="J284" t="s">
        <v>3972</v>
      </c>
      <c r="K284" t="s">
        <v>1827</v>
      </c>
      <c r="L284" t="s">
        <v>74</v>
      </c>
      <c r="M284" t="s">
        <v>78</v>
      </c>
      <c r="N284" t="s">
        <v>79</v>
      </c>
      <c r="O284" t="s">
        <v>3973</v>
      </c>
      <c r="P284" t="s">
        <v>3974</v>
      </c>
      <c r="Q284" t="s">
        <v>1830</v>
      </c>
      <c r="R284" t="s">
        <v>74</v>
      </c>
      <c r="S284" t="s">
        <v>74</v>
      </c>
      <c r="T284" t="s">
        <v>3975</v>
      </c>
      <c r="U284" t="s">
        <v>3976</v>
      </c>
      <c r="V284" t="s">
        <v>3977</v>
      </c>
      <c r="W284" t="s">
        <v>3978</v>
      </c>
      <c r="X284" t="s">
        <v>74</v>
      </c>
      <c r="Y284" t="s">
        <v>3979</v>
      </c>
      <c r="Z284" t="s">
        <v>74</v>
      </c>
      <c r="AA284" t="s">
        <v>74</v>
      </c>
      <c r="AB284" t="s">
        <v>74</v>
      </c>
      <c r="AC284" t="s">
        <v>74</v>
      </c>
      <c r="AD284" t="s">
        <v>74</v>
      </c>
      <c r="AE284" t="s">
        <v>74</v>
      </c>
      <c r="AF284" t="s">
        <v>74</v>
      </c>
      <c r="AG284">
        <v>8</v>
      </c>
      <c r="AH284">
        <v>1</v>
      </c>
      <c r="AI284">
        <v>1</v>
      </c>
      <c r="AJ284">
        <v>0</v>
      </c>
      <c r="AK284">
        <v>1</v>
      </c>
      <c r="AL284" t="s">
        <v>1838</v>
      </c>
      <c r="AM284" t="s">
        <v>1839</v>
      </c>
      <c r="AN284" t="s">
        <v>1840</v>
      </c>
      <c r="AO284" t="s">
        <v>1841</v>
      </c>
      <c r="AP284" t="s">
        <v>74</v>
      </c>
      <c r="AQ284" t="s">
        <v>3980</v>
      </c>
      <c r="AR284" t="s">
        <v>1843</v>
      </c>
      <c r="AS284" t="s">
        <v>74</v>
      </c>
      <c r="AT284" t="s">
        <v>74</v>
      </c>
      <c r="AU284">
        <v>2003</v>
      </c>
      <c r="AV284">
        <v>5155</v>
      </c>
      <c r="AW284" t="s">
        <v>74</v>
      </c>
      <c r="AX284" t="s">
        <v>74</v>
      </c>
      <c r="AY284" t="s">
        <v>74</v>
      </c>
      <c r="AZ284" t="s">
        <v>74</v>
      </c>
      <c r="BA284" t="s">
        <v>74</v>
      </c>
      <c r="BB284">
        <v>238</v>
      </c>
      <c r="BC284">
        <v>248</v>
      </c>
      <c r="BD284" t="s">
        <v>74</v>
      </c>
      <c r="BE284" t="s">
        <v>3981</v>
      </c>
      <c r="BF284" t="str">
        <f>HYPERLINK("http://dx.doi.org/10.1117/12.504764","http://dx.doi.org/10.1117/12.504764")</f>
        <v>http://dx.doi.org/10.1117/12.504764</v>
      </c>
      <c r="BG284" t="s">
        <v>74</v>
      </c>
      <c r="BH284" t="s">
        <v>74</v>
      </c>
      <c r="BI284">
        <v>11</v>
      </c>
      <c r="BJ284" t="s">
        <v>3982</v>
      </c>
      <c r="BK284" t="s">
        <v>95</v>
      </c>
      <c r="BL284" t="s">
        <v>3982</v>
      </c>
      <c r="BM284" t="s">
        <v>3983</v>
      </c>
      <c r="BN284" t="s">
        <v>74</v>
      </c>
      <c r="BO284" t="s">
        <v>74</v>
      </c>
      <c r="BP284" t="s">
        <v>74</v>
      </c>
      <c r="BQ284" t="s">
        <v>74</v>
      </c>
      <c r="BR284" t="s">
        <v>98</v>
      </c>
      <c r="BS284" t="s">
        <v>3984</v>
      </c>
      <c r="BT284" t="str">
        <f>HYPERLINK("https%3A%2F%2Fwww.webofscience.com%2Fwos%2Fwoscc%2Ffull-record%2FWOS:000187120200025","View Full Record in Web of Science")</f>
        <v>View Full Record in Web of Science</v>
      </c>
    </row>
    <row r="285" spans="1:72" x14ac:dyDescent="0.15">
      <c r="A285" t="s">
        <v>903</v>
      </c>
      <c r="B285" t="s">
        <v>3985</v>
      </c>
      <c r="C285" t="s">
        <v>74</v>
      </c>
      <c r="D285" t="s">
        <v>3986</v>
      </c>
      <c r="E285" t="s">
        <v>74</v>
      </c>
      <c r="F285" t="s">
        <v>3985</v>
      </c>
      <c r="G285" t="s">
        <v>74</v>
      </c>
      <c r="H285" t="s">
        <v>74</v>
      </c>
      <c r="I285" t="s">
        <v>3987</v>
      </c>
      <c r="J285" t="s">
        <v>3988</v>
      </c>
      <c r="K285" t="s">
        <v>3989</v>
      </c>
      <c r="L285" t="s">
        <v>74</v>
      </c>
      <c r="M285" t="s">
        <v>78</v>
      </c>
      <c r="N285" t="s">
        <v>775</v>
      </c>
      <c r="O285" t="s">
        <v>74</v>
      </c>
      <c r="P285" t="s">
        <v>74</v>
      </c>
      <c r="Q285" t="s">
        <v>74</v>
      </c>
      <c r="R285" t="s">
        <v>74</v>
      </c>
      <c r="S285" t="s">
        <v>74</v>
      </c>
      <c r="T285" t="s">
        <v>74</v>
      </c>
      <c r="U285" t="s">
        <v>3990</v>
      </c>
      <c r="V285" t="s">
        <v>3991</v>
      </c>
      <c r="W285" t="s">
        <v>3992</v>
      </c>
      <c r="X285" t="s">
        <v>239</v>
      </c>
      <c r="Y285" t="s">
        <v>3993</v>
      </c>
      <c r="Z285" t="s">
        <v>3994</v>
      </c>
      <c r="AA285" t="s">
        <v>74</v>
      </c>
      <c r="AB285" t="s">
        <v>74</v>
      </c>
      <c r="AC285" t="s">
        <v>74</v>
      </c>
      <c r="AD285" t="s">
        <v>74</v>
      </c>
      <c r="AE285" t="s">
        <v>74</v>
      </c>
      <c r="AF285" t="s">
        <v>74</v>
      </c>
      <c r="AG285">
        <v>395</v>
      </c>
      <c r="AH285">
        <v>384</v>
      </c>
      <c r="AI285">
        <v>409</v>
      </c>
      <c r="AJ285">
        <v>2</v>
      </c>
      <c r="AK285">
        <v>125</v>
      </c>
      <c r="AL285" t="s">
        <v>2060</v>
      </c>
      <c r="AM285" t="s">
        <v>2113</v>
      </c>
      <c r="AN285" t="s">
        <v>3995</v>
      </c>
      <c r="AO285" t="s">
        <v>3996</v>
      </c>
      <c r="AP285" t="s">
        <v>74</v>
      </c>
      <c r="AQ285" t="s">
        <v>3997</v>
      </c>
      <c r="AR285" t="s">
        <v>3998</v>
      </c>
      <c r="AS285" t="s">
        <v>3999</v>
      </c>
      <c r="AT285" t="s">
        <v>74</v>
      </c>
      <c r="AU285">
        <v>2003</v>
      </c>
      <c r="AV285">
        <v>41</v>
      </c>
      <c r="AW285" t="s">
        <v>74</v>
      </c>
      <c r="AX285" t="s">
        <v>74</v>
      </c>
      <c r="AY285" t="s">
        <v>74</v>
      </c>
      <c r="AZ285" t="s">
        <v>74</v>
      </c>
      <c r="BA285" t="s">
        <v>74</v>
      </c>
      <c r="BB285">
        <v>47</v>
      </c>
      <c r="BC285">
        <v>114</v>
      </c>
      <c r="BD285" t="s">
        <v>74</v>
      </c>
      <c r="BE285" t="s">
        <v>74</v>
      </c>
      <c r="BF285" t="s">
        <v>74</v>
      </c>
      <c r="BG285" t="s">
        <v>74</v>
      </c>
      <c r="BH285" t="s">
        <v>74</v>
      </c>
      <c r="BI285">
        <v>68</v>
      </c>
      <c r="BJ285" t="s">
        <v>3127</v>
      </c>
      <c r="BK285" t="s">
        <v>569</v>
      </c>
      <c r="BL285" t="s">
        <v>3127</v>
      </c>
      <c r="BM285" t="s">
        <v>4000</v>
      </c>
      <c r="BN285" t="s">
        <v>74</v>
      </c>
      <c r="BO285" t="s">
        <v>74</v>
      </c>
      <c r="BP285" t="s">
        <v>74</v>
      </c>
      <c r="BQ285" t="s">
        <v>74</v>
      </c>
      <c r="BR285" t="s">
        <v>98</v>
      </c>
      <c r="BS285" t="s">
        <v>4001</v>
      </c>
      <c r="BT285" t="str">
        <f>HYPERLINK("https%3A%2F%2Fwww.webofscience.com%2Fwos%2Fwoscc%2Ffull-record%2FWOS:000185182700002","View Full Record in Web of Science")</f>
        <v>View Full Record in Web of Science</v>
      </c>
    </row>
    <row r="286" spans="1:72" x14ac:dyDescent="0.15">
      <c r="A286" t="s">
        <v>552</v>
      </c>
      <c r="B286" t="s">
        <v>4002</v>
      </c>
      <c r="C286" t="s">
        <v>74</v>
      </c>
      <c r="D286" t="s">
        <v>74</v>
      </c>
      <c r="E286" t="s">
        <v>74</v>
      </c>
      <c r="F286" t="s">
        <v>4002</v>
      </c>
      <c r="G286" t="s">
        <v>74</v>
      </c>
      <c r="H286" t="s">
        <v>74</v>
      </c>
      <c r="I286" t="s">
        <v>4003</v>
      </c>
      <c r="J286" t="s">
        <v>4004</v>
      </c>
      <c r="K286" t="s">
        <v>74</v>
      </c>
      <c r="L286" t="s">
        <v>74</v>
      </c>
      <c r="M286" t="s">
        <v>78</v>
      </c>
      <c r="N286" t="s">
        <v>775</v>
      </c>
      <c r="O286" t="s">
        <v>74</v>
      </c>
      <c r="P286" t="s">
        <v>74</v>
      </c>
      <c r="Q286" t="s">
        <v>74</v>
      </c>
      <c r="R286" t="s">
        <v>74</v>
      </c>
      <c r="S286" t="s">
        <v>74</v>
      </c>
      <c r="T286" t="s">
        <v>74</v>
      </c>
      <c r="U286" t="s">
        <v>4005</v>
      </c>
      <c r="V286" t="s">
        <v>4006</v>
      </c>
      <c r="W286" t="s">
        <v>4007</v>
      </c>
      <c r="X286" t="s">
        <v>4008</v>
      </c>
      <c r="Y286" t="s">
        <v>4009</v>
      </c>
      <c r="Z286" t="s">
        <v>74</v>
      </c>
      <c r="AA286" t="s">
        <v>4010</v>
      </c>
      <c r="AB286" t="s">
        <v>4011</v>
      </c>
      <c r="AC286" t="s">
        <v>74</v>
      </c>
      <c r="AD286" t="s">
        <v>74</v>
      </c>
      <c r="AE286" t="s">
        <v>74</v>
      </c>
      <c r="AF286" t="s">
        <v>74</v>
      </c>
      <c r="AG286">
        <v>15</v>
      </c>
      <c r="AH286">
        <v>10</v>
      </c>
      <c r="AI286">
        <v>10</v>
      </c>
      <c r="AJ286">
        <v>0</v>
      </c>
      <c r="AK286">
        <v>8</v>
      </c>
      <c r="AL286" t="s">
        <v>4012</v>
      </c>
      <c r="AM286" t="s">
        <v>561</v>
      </c>
      <c r="AN286" t="s">
        <v>4013</v>
      </c>
      <c r="AO286" t="s">
        <v>4014</v>
      </c>
      <c r="AP286" t="s">
        <v>4015</v>
      </c>
      <c r="AQ286" t="s">
        <v>74</v>
      </c>
      <c r="AR286" t="s">
        <v>4016</v>
      </c>
      <c r="AS286" t="s">
        <v>4017</v>
      </c>
      <c r="AT286" t="s">
        <v>790</v>
      </c>
      <c r="AU286">
        <v>2003</v>
      </c>
      <c r="AV286">
        <v>43</v>
      </c>
      <c r="AW286">
        <v>1</v>
      </c>
      <c r="AX286" t="s">
        <v>74</v>
      </c>
      <c r="AY286" t="s">
        <v>74</v>
      </c>
      <c r="AZ286" t="s">
        <v>74</v>
      </c>
      <c r="BA286" t="s">
        <v>74</v>
      </c>
      <c r="BB286">
        <v>1</v>
      </c>
      <c r="BC286">
        <v>15</v>
      </c>
      <c r="BD286" t="s">
        <v>74</v>
      </c>
      <c r="BE286" t="s">
        <v>74</v>
      </c>
      <c r="BF286" t="s">
        <v>74</v>
      </c>
      <c r="BG286" t="s">
        <v>74</v>
      </c>
      <c r="BH286" t="s">
        <v>74</v>
      </c>
      <c r="BI286">
        <v>15</v>
      </c>
      <c r="BJ286" t="s">
        <v>1394</v>
      </c>
      <c r="BK286" t="s">
        <v>569</v>
      </c>
      <c r="BL286" t="s">
        <v>1394</v>
      </c>
      <c r="BM286" t="s">
        <v>4018</v>
      </c>
      <c r="BN286" t="s">
        <v>74</v>
      </c>
      <c r="BO286" t="s">
        <v>74</v>
      </c>
      <c r="BP286" t="s">
        <v>74</v>
      </c>
      <c r="BQ286" t="s">
        <v>74</v>
      </c>
      <c r="BR286" t="s">
        <v>98</v>
      </c>
      <c r="BS286" t="s">
        <v>4019</v>
      </c>
      <c r="BT286" t="str">
        <f>HYPERLINK("https%3A%2F%2Fwww.webofscience.com%2Fwos%2Fwoscc%2Ffull-record%2FWOS:000181325500001","View Full Record in Web of Science")</f>
        <v>View Full Record in Web of Science</v>
      </c>
    </row>
    <row r="287" spans="1:72" x14ac:dyDescent="0.15">
      <c r="A287" t="s">
        <v>72</v>
      </c>
      <c r="B287" t="s">
        <v>4020</v>
      </c>
      <c r="C287" t="s">
        <v>74</v>
      </c>
      <c r="D287" t="s">
        <v>74</v>
      </c>
      <c r="E287" t="s">
        <v>4021</v>
      </c>
      <c r="F287" t="s">
        <v>4020</v>
      </c>
      <c r="G287" t="s">
        <v>74</v>
      </c>
      <c r="H287" t="s">
        <v>74</v>
      </c>
      <c r="I287" t="s">
        <v>4022</v>
      </c>
      <c r="J287" t="s">
        <v>4023</v>
      </c>
      <c r="K287" t="s">
        <v>74</v>
      </c>
      <c r="L287" t="s">
        <v>74</v>
      </c>
      <c r="M287" t="s">
        <v>78</v>
      </c>
      <c r="N287" t="s">
        <v>79</v>
      </c>
      <c r="O287" t="s">
        <v>4024</v>
      </c>
      <c r="P287" t="s">
        <v>4025</v>
      </c>
      <c r="Q287" t="s">
        <v>4026</v>
      </c>
      <c r="R287" t="s">
        <v>74</v>
      </c>
      <c r="S287" t="s">
        <v>74</v>
      </c>
      <c r="T287" t="s">
        <v>74</v>
      </c>
      <c r="U287" t="s">
        <v>74</v>
      </c>
      <c r="V287" t="s">
        <v>4027</v>
      </c>
      <c r="W287" t="s">
        <v>74</v>
      </c>
      <c r="X287" t="s">
        <v>74</v>
      </c>
      <c r="Y287" t="s">
        <v>74</v>
      </c>
      <c r="Z287" t="s">
        <v>74</v>
      </c>
      <c r="AA287" t="s">
        <v>74</v>
      </c>
      <c r="AB287" t="s">
        <v>74</v>
      </c>
      <c r="AC287" t="s">
        <v>74</v>
      </c>
      <c r="AD287" t="s">
        <v>74</v>
      </c>
      <c r="AE287" t="s">
        <v>74</v>
      </c>
      <c r="AF287" t="s">
        <v>74</v>
      </c>
      <c r="AG287">
        <v>0</v>
      </c>
      <c r="AH287">
        <v>0</v>
      </c>
      <c r="AI287">
        <v>0</v>
      </c>
      <c r="AJ287">
        <v>0</v>
      </c>
      <c r="AK287">
        <v>0</v>
      </c>
      <c r="AL287" t="s">
        <v>4028</v>
      </c>
      <c r="AM287" t="s">
        <v>388</v>
      </c>
      <c r="AN287" t="s">
        <v>4029</v>
      </c>
      <c r="AO287" t="s">
        <v>74</v>
      </c>
      <c r="AP287" t="s">
        <v>74</v>
      </c>
      <c r="AQ287" t="s">
        <v>4030</v>
      </c>
      <c r="AR287" t="s">
        <v>74</v>
      </c>
      <c r="AS287" t="s">
        <v>74</v>
      </c>
      <c r="AT287" t="s">
        <v>74</v>
      </c>
      <c r="AU287">
        <v>2003</v>
      </c>
      <c r="AV287" t="s">
        <v>74</v>
      </c>
      <c r="AW287" t="s">
        <v>74</v>
      </c>
      <c r="AX287" t="s">
        <v>74</v>
      </c>
      <c r="AY287" t="s">
        <v>74</v>
      </c>
      <c r="AZ287" t="s">
        <v>74</v>
      </c>
      <c r="BA287" t="s">
        <v>74</v>
      </c>
      <c r="BB287">
        <v>552</v>
      </c>
      <c r="BC287">
        <v>556</v>
      </c>
      <c r="BD287" t="s">
        <v>74</v>
      </c>
      <c r="BE287" t="s">
        <v>74</v>
      </c>
      <c r="BF287" t="s">
        <v>74</v>
      </c>
      <c r="BG287" t="s">
        <v>74</v>
      </c>
      <c r="BH287" t="s">
        <v>74</v>
      </c>
      <c r="BI287">
        <v>5</v>
      </c>
      <c r="BJ287" t="s">
        <v>1394</v>
      </c>
      <c r="BK287" t="s">
        <v>95</v>
      </c>
      <c r="BL287" t="s">
        <v>1394</v>
      </c>
      <c r="BM287" t="s">
        <v>4031</v>
      </c>
      <c r="BN287" t="s">
        <v>74</v>
      </c>
      <c r="BO287" t="s">
        <v>74</v>
      </c>
      <c r="BP287" t="s">
        <v>74</v>
      </c>
      <c r="BQ287" t="s">
        <v>74</v>
      </c>
      <c r="BR287" t="s">
        <v>98</v>
      </c>
      <c r="BS287" t="s">
        <v>4032</v>
      </c>
      <c r="BT287" t="str">
        <f>HYPERLINK("https%3A%2F%2Fwww.webofscience.com%2Fwos%2Fwoscc%2Ffull-record%2FWOS:000221420300132","View Full Record in Web of Science")</f>
        <v>View Full Record in Web of Science</v>
      </c>
    </row>
    <row r="288" spans="1:72" x14ac:dyDescent="0.15">
      <c r="A288" t="s">
        <v>72</v>
      </c>
      <c r="B288" t="s">
        <v>4033</v>
      </c>
      <c r="C288" t="s">
        <v>74</v>
      </c>
      <c r="D288" t="s">
        <v>74</v>
      </c>
      <c r="E288" t="s">
        <v>4021</v>
      </c>
      <c r="F288" t="s">
        <v>4033</v>
      </c>
      <c r="G288" t="s">
        <v>74</v>
      </c>
      <c r="H288" t="s">
        <v>74</v>
      </c>
      <c r="I288" t="s">
        <v>4034</v>
      </c>
      <c r="J288" t="s">
        <v>4023</v>
      </c>
      <c r="K288" t="s">
        <v>74</v>
      </c>
      <c r="L288" t="s">
        <v>74</v>
      </c>
      <c r="M288" t="s">
        <v>78</v>
      </c>
      <c r="N288" t="s">
        <v>79</v>
      </c>
      <c r="O288" t="s">
        <v>4024</v>
      </c>
      <c r="P288" t="s">
        <v>4025</v>
      </c>
      <c r="Q288" t="s">
        <v>4026</v>
      </c>
      <c r="R288" t="s">
        <v>74</v>
      </c>
      <c r="S288" t="s">
        <v>74</v>
      </c>
      <c r="T288" t="s">
        <v>74</v>
      </c>
      <c r="U288" t="s">
        <v>74</v>
      </c>
      <c r="V288" t="s">
        <v>4035</v>
      </c>
      <c r="W288" t="s">
        <v>2931</v>
      </c>
      <c r="X288" t="s">
        <v>1694</v>
      </c>
      <c r="Y288" t="s">
        <v>4036</v>
      </c>
      <c r="Z288" t="s">
        <v>74</v>
      </c>
      <c r="AA288" t="s">
        <v>4037</v>
      </c>
      <c r="AB288" t="s">
        <v>4038</v>
      </c>
      <c r="AC288" t="s">
        <v>74</v>
      </c>
      <c r="AD288" t="s">
        <v>74</v>
      </c>
      <c r="AE288" t="s">
        <v>74</v>
      </c>
      <c r="AF288" t="s">
        <v>74</v>
      </c>
      <c r="AG288">
        <v>0</v>
      </c>
      <c r="AH288">
        <v>0</v>
      </c>
      <c r="AI288">
        <v>0</v>
      </c>
      <c r="AJ288">
        <v>0</v>
      </c>
      <c r="AK288">
        <v>4</v>
      </c>
      <c r="AL288" t="s">
        <v>4028</v>
      </c>
      <c r="AM288" t="s">
        <v>388</v>
      </c>
      <c r="AN288" t="s">
        <v>4029</v>
      </c>
      <c r="AO288" t="s">
        <v>74</v>
      </c>
      <c r="AP288" t="s">
        <v>74</v>
      </c>
      <c r="AQ288" t="s">
        <v>4030</v>
      </c>
      <c r="AR288" t="s">
        <v>74</v>
      </c>
      <c r="AS288" t="s">
        <v>74</v>
      </c>
      <c r="AT288" t="s">
        <v>74</v>
      </c>
      <c r="AU288">
        <v>2003</v>
      </c>
      <c r="AV288" t="s">
        <v>74</v>
      </c>
      <c r="AW288" t="s">
        <v>74</v>
      </c>
      <c r="AX288" t="s">
        <v>74</v>
      </c>
      <c r="AY288" t="s">
        <v>74</v>
      </c>
      <c r="AZ288" t="s">
        <v>74</v>
      </c>
      <c r="BA288" t="s">
        <v>74</v>
      </c>
      <c r="BB288">
        <v>818</v>
      </c>
      <c r="BC288">
        <v>818</v>
      </c>
      <c r="BD288" t="s">
        <v>74</v>
      </c>
      <c r="BE288" t="s">
        <v>74</v>
      </c>
      <c r="BF288" t="s">
        <v>74</v>
      </c>
      <c r="BG288" t="s">
        <v>74</v>
      </c>
      <c r="BH288" t="s">
        <v>74</v>
      </c>
      <c r="BI288">
        <v>1</v>
      </c>
      <c r="BJ288" t="s">
        <v>1394</v>
      </c>
      <c r="BK288" t="s">
        <v>95</v>
      </c>
      <c r="BL288" t="s">
        <v>1394</v>
      </c>
      <c r="BM288" t="s">
        <v>4031</v>
      </c>
      <c r="BN288" t="s">
        <v>74</v>
      </c>
      <c r="BO288" t="s">
        <v>74</v>
      </c>
      <c r="BP288" t="s">
        <v>74</v>
      </c>
      <c r="BQ288" t="s">
        <v>74</v>
      </c>
      <c r="BR288" t="s">
        <v>98</v>
      </c>
      <c r="BS288" t="s">
        <v>4039</v>
      </c>
      <c r="BT288" t="str">
        <f>HYPERLINK("https%3A%2F%2Fwww.webofscience.com%2Fwos%2Fwoscc%2Ffull-record%2FWOS:000221420300186","View Full Record in Web of Science")</f>
        <v>View Full Record in Web of Science</v>
      </c>
    </row>
    <row r="289" spans="1:72" x14ac:dyDescent="0.15">
      <c r="A289" t="s">
        <v>72</v>
      </c>
      <c r="B289" t="s">
        <v>4040</v>
      </c>
      <c r="C289" t="s">
        <v>74</v>
      </c>
      <c r="D289" t="s">
        <v>74</v>
      </c>
      <c r="E289" t="s">
        <v>4021</v>
      </c>
      <c r="F289" t="s">
        <v>4040</v>
      </c>
      <c r="G289" t="s">
        <v>74</v>
      </c>
      <c r="H289" t="s">
        <v>74</v>
      </c>
      <c r="I289" t="s">
        <v>4041</v>
      </c>
      <c r="J289" t="s">
        <v>4023</v>
      </c>
      <c r="K289" t="s">
        <v>74</v>
      </c>
      <c r="L289" t="s">
        <v>74</v>
      </c>
      <c r="M289" t="s">
        <v>78</v>
      </c>
      <c r="N289" t="s">
        <v>79</v>
      </c>
      <c r="O289" t="s">
        <v>4024</v>
      </c>
      <c r="P289" t="s">
        <v>4025</v>
      </c>
      <c r="Q289" t="s">
        <v>4026</v>
      </c>
      <c r="R289" t="s">
        <v>74</v>
      </c>
      <c r="S289" t="s">
        <v>74</v>
      </c>
      <c r="T289" t="s">
        <v>4042</v>
      </c>
      <c r="U289" t="s">
        <v>4043</v>
      </c>
      <c r="V289" t="s">
        <v>4044</v>
      </c>
      <c r="W289" t="s">
        <v>4045</v>
      </c>
      <c r="X289" t="s">
        <v>4046</v>
      </c>
      <c r="Y289" t="s">
        <v>4047</v>
      </c>
      <c r="Z289" t="s">
        <v>4048</v>
      </c>
      <c r="AA289" t="s">
        <v>4049</v>
      </c>
      <c r="AB289" t="s">
        <v>4050</v>
      </c>
      <c r="AC289" t="s">
        <v>74</v>
      </c>
      <c r="AD289" t="s">
        <v>74</v>
      </c>
      <c r="AE289" t="s">
        <v>74</v>
      </c>
      <c r="AF289" t="s">
        <v>74</v>
      </c>
      <c r="AG289">
        <v>34</v>
      </c>
      <c r="AH289">
        <v>62</v>
      </c>
      <c r="AI289">
        <v>71</v>
      </c>
      <c r="AJ289">
        <v>2</v>
      </c>
      <c r="AK289">
        <v>10</v>
      </c>
      <c r="AL289" t="s">
        <v>4028</v>
      </c>
      <c r="AM289" t="s">
        <v>388</v>
      </c>
      <c r="AN289" t="s">
        <v>4029</v>
      </c>
      <c r="AO289" t="s">
        <v>74</v>
      </c>
      <c r="AP289" t="s">
        <v>74</v>
      </c>
      <c r="AQ289" t="s">
        <v>4030</v>
      </c>
      <c r="AR289" t="s">
        <v>74</v>
      </c>
      <c r="AS289" t="s">
        <v>74</v>
      </c>
      <c r="AT289" t="s">
        <v>74</v>
      </c>
      <c r="AU289">
        <v>2003</v>
      </c>
      <c r="AV289" t="s">
        <v>74</v>
      </c>
      <c r="AW289" t="s">
        <v>74</v>
      </c>
      <c r="AX289" t="s">
        <v>74</v>
      </c>
      <c r="AY289" t="s">
        <v>74</v>
      </c>
      <c r="AZ289" t="s">
        <v>74</v>
      </c>
      <c r="BA289" t="s">
        <v>74</v>
      </c>
      <c r="BB289">
        <v>962</v>
      </c>
      <c r="BC289">
        <v>968</v>
      </c>
      <c r="BD289" t="s">
        <v>74</v>
      </c>
      <c r="BE289" t="s">
        <v>4051</v>
      </c>
      <c r="BF289" t="str">
        <f>HYPERLINK("http://dx.doi.org/10.1109/OCEANS.2003.178458","http://dx.doi.org/10.1109/OCEANS.2003.178458")</f>
        <v>http://dx.doi.org/10.1109/OCEANS.2003.178458</v>
      </c>
      <c r="BG289" t="s">
        <v>74</v>
      </c>
      <c r="BH289" t="s">
        <v>74</v>
      </c>
      <c r="BI289">
        <v>7</v>
      </c>
      <c r="BJ289" t="s">
        <v>1394</v>
      </c>
      <c r="BK289" t="s">
        <v>95</v>
      </c>
      <c r="BL289" t="s">
        <v>1394</v>
      </c>
      <c r="BM289" t="s">
        <v>4031</v>
      </c>
      <c r="BN289" t="s">
        <v>74</v>
      </c>
      <c r="BO289" t="s">
        <v>74</v>
      </c>
      <c r="BP289" t="s">
        <v>74</v>
      </c>
      <c r="BQ289" t="s">
        <v>74</v>
      </c>
      <c r="BR289" t="s">
        <v>98</v>
      </c>
      <c r="BS289" t="s">
        <v>4052</v>
      </c>
      <c r="BT289" t="str">
        <f>HYPERLINK("https%3A%2F%2Fwww.webofscience.com%2Fwos%2Fwoscc%2Ffull-record%2FWOS:000221420300221","View Full Record in Web of Science")</f>
        <v>View Full Record in Web of Science</v>
      </c>
    </row>
    <row r="290" spans="1:72" x14ac:dyDescent="0.15">
      <c r="A290" t="s">
        <v>72</v>
      </c>
      <c r="B290" t="s">
        <v>4053</v>
      </c>
      <c r="C290" t="s">
        <v>74</v>
      </c>
      <c r="D290" t="s">
        <v>74</v>
      </c>
      <c r="E290" t="s">
        <v>4021</v>
      </c>
      <c r="F290" t="s">
        <v>4053</v>
      </c>
      <c r="G290" t="s">
        <v>74</v>
      </c>
      <c r="H290" t="s">
        <v>74</v>
      </c>
      <c r="I290" t="s">
        <v>4054</v>
      </c>
      <c r="J290" t="s">
        <v>4023</v>
      </c>
      <c r="K290" t="s">
        <v>74</v>
      </c>
      <c r="L290" t="s">
        <v>74</v>
      </c>
      <c r="M290" t="s">
        <v>78</v>
      </c>
      <c r="N290" t="s">
        <v>79</v>
      </c>
      <c r="O290" t="s">
        <v>4024</v>
      </c>
      <c r="P290" t="s">
        <v>4025</v>
      </c>
      <c r="Q290" t="s">
        <v>4026</v>
      </c>
      <c r="R290" t="s">
        <v>74</v>
      </c>
      <c r="S290" t="s">
        <v>74</v>
      </c>
      <c r="T290" t="s">
        <v>74</v>
      </c>
      <c r="U290" t="s">
        <v>4055</v>
      </c>
      <c r="V290" t="s">
        <v>4056</v>
      </c>
      <c r="W290" t="s">
        <v>4057</v>
      </c>
      <c r="X290" t="s">
        <v>4058</v>
      </c>
      <c r="Y290" t="s">
        <v>4059</v>
      </c>
      <c r="Z290" t="s">
        <v>74</v>
      </c>
      <c r="AA290" t="s">
        <v>74</v>
      </c>
      <c r="AB290" t="s">
        <v>74</v>
      </c>
      <c r="AC290" t="s">
        <v>74</v>
      </c>
      <c r="AD290" t="s">
        <v>74</v>
      </c>
      <c r="AE290" t="s">
        <v>74</v>
      </c>
      <c r="AF290" t="s">
        <v>74</v>
      </c>
      <c r="AG290">
        <v>8</v>
      </c>
      <c r="AH290">
        <v>0</v>
      </c>
      <c r="AI290">
        <v>0</v>
      </c>
      <c r="AJ290">
        <v>0</v>
      </c>
      <c r="AK290">
        <v>1</v>
      </c>
      <c r="AL290" t="s">
        <v>4028</v>
      </c>
      <c r="AM290" t="s">
        <v>388</v>
      </c>
      <c r="AN290" t="s">
        <v>4029</v>
      </c>
      <c r="AO290" t="s">
        <v>74</v>
      </c>
      <c r="AP290" t="s">
        <v>74</v>
      </c>
      <c r="AQ290" t="s">
        <v>4030</v>
      </c>
      <c r="AR290" t="s">
        <v>74</v>
      </c>
      <c r="AS290" t="s">
        <v>74</v>
      </c>
      <c r="AT290" t="s">
        <v>74</v>
      </c>
      <c r="AU290">
        <v>2003</v>
      </c>
      <c r="AV290" t="s">
        <v>74</v>
      </c>
      <c r="AW290" t="s">
        <v>74</v>
      </c>
      <c r="AX290" t="s">
        <v>74</v>
      </c>
      <c r="AY290" t="s">
        <v>74</v>
      </c>
      <c r="AZ290" t="s">
        <v>74</v>
      </c>
      <c r="BA290" t="s">
        <v>74</v>
      </c>
      <c r="BB290">
        <v>2927</v>
      </c>
      <c r="BC290">
        <v>2929</v>
      </c>
      <c r="BD290" t="s">
        <v>74</v>
      </c>
      <c r="BE290" t="s">
        <v>74</v>
      </c>
      <c r="BF290" t="s">
        <v>74</v>
      </c>
      <c r="BG290" t="s">
        <v>74</v>
      </c>
      <c r="BH290" t="s">
        <v>74</v>
      </c>
      <c r="BI290">
        <v>3</v>
      </c>
      <c r="BJ290" t="s">
        <v>1394</v>
      </c>
      <c r="BK290" t="s">
        <v>95</v>
      </c>
      <c r="BL290" t="s">
        <v>1394</v>
      </c>
      <c r="BM290" t="s">
        <v>4031</v>
      </c>
      <c r="BN290" t="s">
        <v>74</v>
      </c>
      <c r="BO290" t="s">
        <v>74</v>
      </c>
      <c r="BP290" t="s">
        <v>74</v>
      </c>
      <c r="BQ290" t="s">
        <v>74</v>
      </c>
      <c r="BR290" t="s">
        <v>98</v>
      </c>
      <c r="BS290" t="s">
        <v>4060</v>
      </c>
      <c r="BT290" t="str">
        <f>HYPERLINK("https%3A%2F%2Fwww.webofscience.com%2Fwos%2Fwoscc%2Ffull-record%2FWOS:000221420300650","View Full Record in Web of Science")</f>
        <v>View Full Record in Web of Science</v>
      </c>
    </row>
    <row r="291" spans="1:72" x14ac:dyDescent="0.15">
      <c r="A291" t="s">
        <v>72</v>
      </c>
      <c r="B291" t="s">
        <v>4061</v>
      </c>
      <c r="C291" t="s">
        <v>74</v>
      </c>
      <c r="D291" t="s">
        <v>4062</v>
      </c>
      <c r="E291" t="s">
        <v>74</v>
      </c>
      <c r="F291" t="s">
        <v>4061</v>
      </c>
      <c r="G291" t="s">
        <v>74</v>
      </c>
      <c r="H291" t="s">
        <v>74</v>
      </c>
      <c r="I291" t="s">
        <v>4063</v>
      </c>
      <c r="J291" t="s">
        <v>4064</v>
      </c>
      <c r="K291" t="s">
        <v>2453</v>
      </c>
      <c r="L291" t="s">
        <v>74</v>
      </c>
      <c r="M291" t="s">
        <v>78</v>
      </c>
      <c r="N291" t="s">
        <v>79</v>
      </c>
      <c r="O291" t="s">
        <v>4065</v>
      </c>
      <c r="P291" t="s">
        <v>4066</v>
      </c>
      <c r="Q291" t="s">
        <v>4067</v>
      </c>
      <c r="R291" t="s">
        <v>74</v>
      </c>
      <c r="S291" t="s">
        <v>74</v>
      </c>
      <c r="T291" t="s">
        <v>74</v>
      </c>
      <c r="U291" t="s">
        <v>4068</v>
      </c>
      <c r="V291" t="s">
        <v>4069</v>
      </c>
      <c r="W291" t="s">
        <v>4070</v>
      </c>
      <c r="X291" t="s">
        <v>444</v>
      </c>
      <c r="Y291" t="s">
        <v>4071</v>
      </c>
      <c r="Z291" t="s">
        <v>4072</v>
      </c>
      <c r="AA291" t="s">
        <v>74</v>
      </c>
      <c r="AB291" t="s">
        <v>74</v>
      </c>
      <c r="AC291" t="s">
        <v>74</v>
      </c>
      <c r="AD291" t="s">
        <v>74</v>
      </c>
      <c r="AE291" t="s">
        <v>74</v>
      </c>
      <c r="AF291" t="s">
        <v>74</v>
      </c>
      <c r="AG291">
        <v>99</v>
      </c>
      <c r="AH291">
        <v>97</v>
      </c>
      <c r="AI291">
        <v>103</v>
      </c>
      <c r="AJ291">
        <v>0</v>
      </c>
      <c r="AK291">
        <v>10</v>
      </c>
      <c r="AL291" t="s">
        <v>2464</v>
      </c>
      <c r="AM291" t="s">
        <v>2465</v>
      </c>
      <c r="AN291" t="s">
        <v>2466</v>
      </c>
      <c r="AO291" t="s">
        <v>2467</v>
      </c>
      <c r="AP291" t="s">
        <v>74</v>
      </c>
      <c r="AQ291" t="s">
        <v>4073</v>
      </c>
      <c r="AR291" t="s">
        <v>2469</v>
      </c>
      <c r="AS291" t="s">
        <v>2470</v>
      </c>
      <c r="AT291" t="s">
        <v>74</v>
      </c>
      <c r="AU291">
        <v>2003</v>
      </c>
      <c r="AV291">
        <v>218</v>
      </c>
      <c r="AW291" t="s">
        <v>74</v>
      </c>
      <c r="AX291" t="s">
        <v>74</v>
      </c>
      <c r="AY291" t="s">
        <v>74</v>
      </c>
      <c r="AZ291" t="s">
        <v>74</v>
      </c>
      <c r="BA291" t="s">
        <v>74</v>
      </c>
      <c r="BB291">
        <v>665</v>
      </c>
      <c r="BC291">
        <v>683</v>
      </c>
      <c r="BD291" t="s">
        <v>74</v>
      </c>
      <c r="BE291" t="s">
        <v>4074</v>
      </c>
      <c r="BF291" t="str">
        <f>HYPERLINK("http://dx.doi.org/10.1144/GSL.SP.2003.218.01.32","http://dx.doi.org/10.1144/GSL.SP.2003.218.01.32")</f>
        <v>http://dx.doi.org/10.1144/GSL.SP.2003.218.01.32</v>
      </c>
      <c r="BG291" t="s">
        <v>74</v>
      </c>
      <c r="BH291" t="s">
        <v>74</v>
      </c>
      <c r="BI291">
        <v>19</v>
      </c>
      <c r="BJ291" t="s">
        <v>1814</v>
      </c>
      <c r="BK291" t="s">
        <v>95</v>
      </c>
      <c r="BL291" t="s">
        <v>1814</v>
      </c>
      <c r="BM291" t="s">
        <v>4075</v>
      </c>
      <c r="BN291" t="s">
        <v>74</v>
      </c>
      <c r="BO291" t="s">
        <v>74</v>
      </c>
      <c r="BP291" t="s">
        <v>74</v>
      </c>
      <c r="BQ291" t="s">
        <v>74</v>
      </c>
      <c r="BR291" t="s">
        <v>98</v>
      </c>
      <c r="BS291" t="s">
        <v>4076</v>
      </c>
      <c r="BT291" t="str">
        <f>HYPERLINK("https%3A%2F%2Fwww.webofscience.com%2Fwos%2Fwoscc%2Ffull-record%2FWOS:000228181600032","View Full Record in Web of Science")</f>
        <v>View Full Record in Web of Science</v>
      </c>
    </row>
    <row r="292" spans="1:72" x14ac:dyDescent="0.15">
      <c r="A292" t="s">
        <v>72</v>
      </c>
      <c r="B292" t="s">
        <v>4077</v>
      </c>
      <c r="C292" t="s">
        <v>74</v>
      </c>
      <c r="D292" t="s">
        <v>4078</v>
      </c>
      <c r="E292" t="s">
        <v>74</v>
      </c>
      <c r="F292" t="s">
        <v>4077</v>
      </c>
      <c r="G292" t="s">
        <v>74</v>
      </c>
      <c r="H292" t="s">
        <v>74</v>
      </c>
      <c r="I292" t="s">
        <v>4079</v>
      </c>
      <c r="J292" t="s">
        <v>4080</v>
      </c>
      <c r="K292" t="s">
        <v>1827</v>
      </c>
      <c r="L292" t="s">
        <v>74</v>
      </c>
      <c r="M292" t="s">
        <v>78</v>
      </c>
      <c r="N292" t="s">
        <v>79</v>
      </c>
      <c r="O292" t="s">
        <v>4081</v>
      </c>
      <c r="P292" t="s">
        <v>4082</v>
      </c>
      <c r="Q292" t="s">
        <v>4083</v>
      </c>
      <c r="R292" t="s">
        <v>74</v>
      </c>
      <c r="S292" t="s">
        <v>74</v>
      </c>
      <c r="T292" t="s">
        <v>4084</v>
      </c>
      <c r="U292" t="s">
        <v>4085</v>
      </c>
      <c r="V292" t="s">
        <v>4086</v>
      </c>
      <c r="W292" t="s">
        <v>4087</v>
      </c>
      <c r="X292" t="s">
        <v>4088</v>
      </c>
      <c r="Y292" t="s">
        <v>4089</v>
      </c>
      <c r="Z292" t="s">
        <v>74</v>
      </c>
      <c r="AA292" t="s">
        <v>4090</v>
      </c>
      <c r="AB292" t="s">
        <v>4091</v>
      </c>
      <c r="AC292" t="s">
        <v>74</v>
      </c>
      <c r="AD292" t="s">
        <v>74</v>
      </c>
      <c r="AE292" t="s">
        <v>74</v>
      </c>
      <c r="AF292" t="s">
        <v>74</v>
      </c>
      <c r="AG292">
        <v>9</v>
      </c>
      <c r="AH292">
        <v>7</v>
      </c>
      <c r="AI292">
        <v>7</v>
      </c>
      <c r="AJ292">
        <v>1</v>
      </c>
      <c r="AK292">
        <v>4</v>
      </c>
      <c r="AL292" t="s">
        <v>1838</v>
      </c>
      <c r="AM292" t="s">
        <v>1839</v>
      </c>
      <c r="AN292" t="s">
        <v>1840</v>
      </c>
      <c r="AO292" t="s">
        <v>1841</v>
      </c>
      <c r="AP292" t="s">
        <v>74</v>
      </c>
      <c r="AQ292" t="s">
        <v>4092</v>
      </c>
      <c r="AR292" t="s">
        <v>1843</v>
      </c>
      <c r="AS292" t="s">
        <v>74</v>
      </c>
      <c r="AT292" t="s">
        <v>74</v>
      </c>
      <c r="AU292">
        <v>2003</v>
      </c>
      <c r="AV292">
        <v>4891</v>
      </c>
      <c r="AW292" t="s">
        <v>74</v>
      </c>
      <c r="AX292" t="s">
        <v>74</v>
      </c>
      <c r="AY292" t="s">
        <v>74</v>
      </c>
      <c r="AZ292" t="s">
        <v>74</v>
      </c>
      <c r="BA292" t="s">
        <v>74</v>
      </c>
      <c r="BB292">
        <v>449</v>
      </c>
      <c r="BC292">
        <v>459</v>
      </c>
      <c r="BD292" t="s">
        <v>74</v>
      </c>
      <c r="BE292" t="s">
        <v>4093</v>
      </c>
      <c r="BF292" t="str">
        <f>HYPERLINK("http://dx.doi.org/10.1117/12.467306","http://dx.doi.org/10.1117/12.467306")</f>
        <v>http://dx.doi.org/10.1117/12.467306</v>
      </c>
      <c r="BG292" t="s">
        <v>74</v>
      </c>
      <c r="BH292" t="s">
        <v>74</v>
      </c>
      <c r="BI292">
        <v>11</v>
      </c>
      <c r="BJ292" t="s">
        <v>4094</v>
      </c>
      <c r="BK292" t="s">
        <v>95</v>
      </c>
      <c r="BL292" t="s">
        <v>4095</v>
      </c>
      <c r="BM292" t="s">
        <v>4096</v>
      </c>
      <c r="BN292" t="s">
        <v>74</v>
      </c>
      <c r="BO292" t="s">
        <v>74</v>
      </c>
      <c r="BP292" t="s">
        <v>74</v>
      </c>
      <c r="BQ292" t="s">
        <v>74</v>
      </c>
      <c r="BR292" t="s">
        <v>98</v>
      </c>
      <c r="BS292" t="s">
        <v>4097</v>
      </c>
      <c r="BT292" t="str">
        <f>HYPERLINK("https%3A%2F%2Fwww.webofscience.com%2Fwos%2Fwoscc%2Ffull-record%2FWOS:000182689500050","View Full Record in Web of Science")</f>
        <v>View Full Record in Web of Science</v>
      </c>
    </row>
    <row r="293" spans="1:72" x14ac:dyDescent="0.15">
      <c r="A293" t="s">
        <v>552</v>
      </c>
      <c r="B293" t="s">
        <v>4098</v>
      </c>
      <c r="C293" t="s">
        <v>74</v>
      </c>
      <c r="D293" t="s">
        <v>74</v>
      </c>
      <c r="E293" t="s">
        <v>74</v>
      </c>
      <c r="F293" t="s">
        <v>4098</v>
      </c>
      <c r="G293" t="s">
        <v>74</v>
      </c>
      <c r="H293" t="s">
        <v>74</v>
      </c>
      <c r="I293" t="s">
        <v>4099</v>
      </c>
      <c r="J293" t="s">
        <v>4100</v>
      </c>
      <c r="K293" t="s">
        <v>74</v>
      </c>
      <c r="L293" t="s">
        <v>74</v>
      </c>
      <c r="M293" t="s">
        <v>78</v>
      </c>
      <c r="N293" t="s">
        <v>775</v>
      </c>
      <c r="O293" t="s">
        <v>74</v>
      </c>
      <c r="P293" t="s">
        <v>74</v>
      </c>
      <c r="Q293" t="s">
        <v>74</v>
      </c>
      <c r="R293" t="s">
        <v>74</v>
      </c>
      <c r="S293" t="s">
        <v>74</v>
      </c>
      <c r="T293" t="s">
        <v>74</v>
      </c>
      <c r="U293" t="s">
        <v>4101</v>
      </c>
      <c r="V293" t="s">
        <v>4102</v>
      </c>
      <c r="W293" t="s">
        <v>4103</v>
      </c>
      <c r="X293" t="s">
        <v>4104</v>
      </c>
      <c r="Y293" t="s">
        <v>4105</v>
      </c>
      <c r="Z293" t="s">
        <v>74</v>
      </c>
      <c r="AA293" t="s">
        <v>74</v>
      </c>
      <c r="AB293" t="s">
        <v>74</v>
      </c>
      <c r="AC293" t="s">
        <v>74</v>
      </c>
      <c r="AD293" t="s">
        <v>74</v>
      </c>
      <c r="AE293" t="s">
        <v>74</v>
      </c>
      <c r="AF293" t="s">
        <v>74</v>
      </c>
      <c r="AG293">
        <v>55</v>
      </c>
      <c r="AH293">
        <v>27</v>
      </c>
      <c r="AI293">
        <v>28</v>
      </c>
      <c r="AJ293">
        <v>0</v>
      </c>
      <c r="AK293">
        <v>10</v>
      </c>
      <c r="AL293" t="s">
        <v>806</v>
      </c>
      <c r="AM293" t="s">
        <v>807</v>
      </c>
      <c r="AN293" t="s">
        <v>808</v>
      </c>
      <c r="AO293" t="s">
        <v>4106</v>
      </c>
      <c r="AP293" t="s">
        <v>74</v>
      </c>
      <c r="AQ293" t="s">
        <v>74</v>
      </c>
      <c r="AR293" t="s">
        <v>4107</v>
      </c>
      <c r="AS293" t="s">
        <v>4108</v>
      </c>
      <c r="AT293" t="s">
        <v>74</v>
      </c>
      <c r="AU293">
        <v>2003</v>
      </c>
      <c r="AV293">
        <v>34</v>
      </c>
      <c r="AW293">
        <v>10</v>
      </c>
      <c r="AX293" t="s">
        <v>74</v>
      </c>
      <c r="AY293" t="s">
        <v>74</v>
      </c>
      <c r="AZ293" t="s">
        <v>74</v>
      </c>
      <c r="BA293" t="s">
        <v>74</v>
      </c>
      <c r="BB293">
        <v>1465</v>
      </c>
      <c r="BC293">
        <v>1473</v>
      </c>
      <c r="BD293" t="s">
        <v>74</v>
      </c>
      <c r="BE293" t="s">
        <v>4109</v>
      </c>
      <c r="BF293" t="str">
        <f>HYPERLINK("http://dx.doi.org/10.1016/S0146-6380(03)00119-0","http://dx.doi.org/10.1016/S0146-6380(03)00119-0")</f>
        <v>http://dx.doi.org/10.1016/S0146-6380(03)00119-0</v>
      </c>
      <c r="BG293" t="s">
        <v>74</v>
      </c>
      <c r="BH293" t="s">
        <v>74</v>
      </c>
      <c r="BI293">
        <v>9</v>
      </c>
      <c r="BJ293" t="s">
        <v>2068</v>
      </c>
      <c r="BK293" t="s">
        <v>569</v>
      </c>
      <c r="BL293" t="s">
        <v>2068</v>
      </c>
      <c r="BM293" t="s">
        <v>4110</v>
      </c>
      <c r="BN293" t="s">
        <v>74</v>
      </c>
      <c r="BO293" t="s">
        <v>74</v>
      </c>
      <c r="BP293" t="s">
        <v>74</v>
      </c>
      <c r="BQ293" t="s">
        <v>74</v>
      </c>
      <c r="BR293" t="s">
        <v>98</v>
      </c>
      <c r="BS293" t="s">
        <v>4111</v>
      </c>
      <c r="BT293" t="str">
        <f>HYPERLINK("https%3A%2F%2Fwww.webofscience.com%2Fwos%2Fwoscc%2Ffull-record%2FWOS:000185721600008","View Full Record in Web of Science")</f>
        <v>View Full Record in Web of Science</v>
      </c>
    </row>
    <row r="294" spans="1:72" x14ac:dyDescent="0.15">
      <c r="A294" t="s">
        <v>552</v>
      </c>
      <c r="B294" t="s">
        <v>4112</v>
      </c>
      <c r="C294" t="s">
        <v>74</v>
      </c>
      <c r="D294" t="s">
        <v>74</v>
      </c>
      <c r="E294" t="s">
        <v>74</v>
      </c>
      <c r="F294" t="s">
        <v>4112</v>
      </c>
      <c r="G294" t="s">
        <v>74</v>
      </c>
      <c r="H294" t="s">
        <v>74</v>
      </c>
      <c r="I294" t="s">
        <v>4113</v>
      </c>
      <c r="J294" t="s">
        <v>4114</v>
      </c>
      <c r="K294" t="s">
        <v>74</v>
      </c>
      <c r="L294" t="s">
        <v>74</v>
      </c>
      <c r="M294" t="s">
        <v>78</v>
      </c>
      <c r="N294" t="s">
        <v>775</v>
      </c>
      <c r="O294" t="s">
        <v>74</v>
      </c>
      <c r="P294" t="s">
        <v>74</v>
      </c>
      <c r="Q294" t="s">
        <v>74</v>
      </c>
      <c r="R294" t="s">
        <v>74</v>
      </c>
      <c r="S294" t="s">
        <v>74</v>
      </c>
      <c r="T294" t="s">
        <v>4115</v>
      </c>
      <c r="U294" t="s">
        <v>4116</v>
      </c>
      <c r="V294" t="s">
        <v>4117</v>
      </c>
      <c r="W294" t="s">
        <v>238</v>
      </c>
      <c r="X294" t="s">
        <v>239</v>
      </c>
      <c r="Y294" t="s">
        <v>489</v>
      </c>
      <c r="Z294" t="s">
        <v>4118</v>
      </c>
      <c r="AA294" t="s">
        <v>4119</v>
      </c>
      <c r="AB294" t="s">
        <v>4120</v>
      </c>
      <c r="AC294" t="s">
        <v>74</v>
      </c>
      <c r="AD294" t="s">
        <v>74</v>
      </c>
      <c r="AE294" t="s">
        <v>74</v>
      </c>
      <c r="AF294" t="s">
        <v>74</v>
      </c>
      <c r="AG294">
        <v>12</v>
      </c>
      <c r="AH294">
        <v>41</v>
      </c>
      <c r="AI294">
        <v>45</v>
      </c>
      <c r="AJ294">
        <v>0</v>
      </c>
      <c r="AK294">
        <v>7</v>
      </c>
      <c r="AL294" t="s">
        <v>4121</v>
      </c>
      <c r="AM294" t="s">
        <v>4122</v>
      </c>
      <c r="AN294" t="s">
        <v>4123</v>
      </c>
      <c r="AO294" t="s">
        <v>4124</v>
      </c>
      <c r="AP294" t="s">
        <v>4125</v>
      </c>
      <c r="AQ294" t="s">
        <v>74</v>
      </c>
      <c r="AR294" t="s">
        <v>4126</v>
      </c>
      <c r="AS294" t="s">
        <v>4127</v>
      </c>
      <c r="AT294" t="s">
        <v>74</v>
      </c>
      <c r="AU294">
        <v>2003</v>
      </c>
      <c r="AV294">
        <v>3</v>
      </c>
      <c r="AW294">
        <v>3</v>
      </c>
      <c r="AX294" t="s">
        <v>74</v>
      </c>
      <c r="AY294" t="s">
        <v>74</v>
      </c>
      <c r="AZ294" t="s">
        <v>74</v>
      </c>
      <c r="BA294" t="s">
        <v>74</v>
      </c>
      <c r="BB294">
        <v>207</v>
      </c>
      <c r="BC294">
        <v>213</v>
      </c>
      <c r="BD294" t="s">
        <v>74</v>
      </c>
      <c r="BE294" t="s">
        <v>4128</v>
      </c>
      <c r="BF294" t="str">
        <f>HYPERLINK("http://dx.doi.org/10.1078/1439-6092-00079","http://dx.doi.org/10.1078/1439-6092-00079")</f>
        <v>http://dx.doi.org/10.1078/1439-6092-00079</v>
      </c>
      <c r="BG294" t="s">
        <v>74</v>
      </c>
      <c r="BH294" t="s">
        <v>74</v>
      </c>
      <c r="BI294">
        <v>7</v>
      </c>
      <c r="BJ294" t="s">
        <v>4129</v>
      </c>
      <c r="BK294" t="s">
        <v>569</v>
      </c>
      <c r="BL294" t="s">
        <v>4129</v>
      </c>
      <c r="BM294" t="s">
        <v>4130</v>
      </c>
      <c r="BN294" t="s">
        <v>74</v>
      </c>
      <c r="BO294" t="s">
        <v>572</v>
      </c>
      <c r="BP294" t="s">
        <v>74</v>
      </c>
      <c r="BQ294" t="s">
        <v>74</v>
      </c>
      <c r="BR294" t="s">
        <v>98</v>
      </c>
      <c r="BS294" t="s">
        <v>4131</v>
      </c>
      <c r="BT294" t="str">
        <f>HYPERLINK("https%3A%2F%2Fwww.webofscience.com%2Fwos%2Fwoscc%2Ffull-record%2FWOS:000186417800005","View Full Record in Web of Science")</f>
        <v>View Full Record in Web of Science</v>
      </c>
    </row>
    <row r="295" spans="1:72" x14ac:dyDescent="0.15">
      <c r="A295" t="s">
        <v>552</v>
      </c>
      <c r="B295" t="s">
        <v>4132</v>
      </c>
      <c r="C295" t="s">
        <v>74</v>
      </c>
      <c r="D295" t="s">
        <v>74</v>
      </c>
      <c r="E295" t="s">
        <v>74</v>
      </c>
      <c r="F295" t="s">
        <v>4132</v>
      </c>
      <c r="G295" t="s">
        <v>74</v>
      </c>
      <c r="H295" t="s">
        <v>74</v>
      </c>
      <c r="I295" t="s">
        <v>4133</v>
      </c>
      <c r="J295" t="s">
        <v>4134</v>
      </c>
      <c r="K295" t="s">
        <v>74</v>
      </c>
      <c r="L295" t="s">
        <v>74</v>
      </c>
      <c r="M295" t="s">
        <v>78</v>
      </c>
      <c r="N295" t="s">
        <v>775</v>
      </c>
      <c r="O295" t="s">
        <v>74</v>
      </c>
      <c r="P295" t="s">
        <v>74</v>
      </c>
      <c r="Q295" t="s">
        <v>74</v>
      </c>
      <c r="R295" t="s">
        <v>74</v>
      </c>
      <c r="S295" t="s">
        <v>74</v>
      </c>
      <c r="T295" t="s">
        <v>74</v>
      </c>
      <c r="U295" t="s">
        <v>4135</v>
      </c>
      <c r="V295" t="s">
        <v>4136</v>
      </c>
      <c r="W295" t="s">
        <v>4137</v>
      </c>
      <c r="X295" t="s">
        <v>4138</v>
      </c>
      <c r="Y295" t="s">
        <v>4139</v>
      </c>
      <c r="Z295" t="s">
        <v>74</v>
      </c>
      <c r="AA295" t="s">
        <v>4140</v>
      </c>
      <c r="AB295" t="s">
        <v>4141</v>
      </c>
      <c r="AC295" t="s">
        <v>74</v>
      </c>
      <c r="AD295" t="s">
        <v>74</v>
      </c>
      <c r="AE295" t="s">
        <v>74</v>
      </c>
      <c r="AF295" t="s">
        <v>74</v>
      </c>
      <c r="AG295">
        <v>28</v>
      </c>
      <c r="AH295">
        <v>63</v>
      </c>
      <c r="AI295">
        <v>72</v>
      </c>
      <c r="AJ295">
        <v>0</v>
      </c>
      <c r="AK295">
        <v>16</v>
      </c>
      <c r="AL295" t="s">
        <v>1860</v>
      </c>
      <c r="AM295" t="s">
        <v>1861</v>
      </c>
      <c r="AN295" t="s">
        <v>1862</v>
      </c>
      <c r="AO295" t="s">
        <v>4142</v>
      </c>
      <c r="AP295" t="s">
        <v>74</v>
      </c>
      <c r="AQ295" t="s">
        <v>74</v>
      </c>
      <c r="AR295" t="s">
        <v>4143</v>
      </c>
      <c r="AS295" t="s">
        <v>4144</v>
      </c>
      <c r="AT295" t="s">
        <v>2019</v>
      </c>
      <c r="AU295">
        <v>2003</v>
      </c>
      <c r="AV295">
        <v>189</v>
      </c>
      <c r="AW295" t="s">
        <v>1866</v>
      </c>
      <c r="AX295" t="s">
        <v>74</v>
      </c>
      <c r="AY295" t="s">
        <v>74</v>
      </c>
      <c r="AZ295" t="s">
        <v>74</v>
      </c>
      <c r="BA295" t="s">
        <v>74</v>
      </c>
      <c r="BB295">
        <v>25</v>
      </c>
      <c r="BC295">
        <v>34</v>
      </c>
      <c r="BD295" t="s">
        <v>4145</v>
      </c>
      <c r="BE295" t="s">
        <v>4146</v>
      </c>
      <c r="BF295" t="str">
        <f>HYPERLINK("http://dx.doi.org/10.1016/S0031-0182(02)00591-6","http://dx.doi.org/10.1016/S0031-0182(02)00591-6")</f>
        <v>http://dx.doi.org/10.1016/S0031-0182(02)00591-6</v>
      </c>
      <c r="BG295" t="s">
        <v>74</v>
      </c>
      <c r="BH295" t="s">
        <v>74</v>
      </c>
      <c r="BI295">
        <v>10</v>
      </c>
      <c r="BJ295" t="s">
        <v>4147</v>
      </c>
      <c r="BK295" t="s">
        <v>569</v>
      </c>
      <c r="BL295" t="s">
        <v>4148</v>
      </c>
      <c r="BM295" t="s">
        <v>4149</v>
      </c>
      <c r="BN295" t="s">
        <v>74</v>
      </c>
      <c r="BO295" t="s">
        <v>74</v>
      </c>
      <c r="BP295" t="s">
        <v>74</v>
      </c>
      <c r="BQ295" t="s">
        <v>74</v>
      </c>
      <c r="BR295" t="s">
        <v>98</v>
      </c>
      <c r="BS295" t="s">
        <v>4150</v>
      </c>
      <c r="BT295" t="str">
        <f>HYPERLINK("https%3A%2F%2Fwww.webofscience.com%2Fwos%2Fwoscc%2Ffull-record%2FWOS:000180279800003","View Full Record in Web of Science")</f>
        <v>View Full Record in Web of Science</v>
      </c>
    </row>
    <row r="296" spans="1:72" x14ac:dyDescent="0.15">
      <c r="A296" t="s">
        <v>72</v>
      </c>
      <c r="B296" t="s">
        <v>4151</v>
      </c>
      <c r="C296" t="s">
        <v>74</v>
      </c>
      <c r="D296" t="s">
        <v>4152</v>
      </c>
      <c r="E296" t="s">
        <v>74</v>
      </c>
      <c r="F296" t="s">
        <v>4151</v>
      </c>
      <c r="G296" t="s">
        <v>74</v>
      </c>
      <c r="H296" t="s">
        <v>74</v>
      </c>
      <c r="I296" t="s">
        <v>4153</v>
      </c>
      <c r="J296" t="s">
        <v>4154</v>
      </c>
      <c r="K296" t="s">
        <v>4155</v>
      </c>
      <c r="L296" t="s">
        <v>74</v>
      </c>
      <c r="M296" t="s">
        <v>78</v>
      </c>
      <c r="N296" t="s">
        <v>79</v>
      </c>
      <c r="O296" t="s">
        <v>4156</v>
      </c>
      <c r="P296" t="s">
        <v>4157</v>
      </c>
      <c r="Q296" t="s">
        <v>4158</v>
      </c>
      <c r="R296" t="s">
        <v>74</v>
      </c>
      <c r="S296" t="s">
        <v>74</v>
      </c>
      <c r="T296" t="s">
        <v>4159</v>
      </c>
      <c r="U296" t="s">
        <v>4160</v>
      </c>
      <c r="V296" t="s">
        <v>4161</v>
      </c>
      <c r="W296" t="s">
        <v>4162</v>
      </c>
      <c r="X296" t="s">
        <v>4163</v>
      </c>
      <c r="Y296" t="s">
        <v>4164</v>
      </c>
      <c r="Z296" t="s">
        <v>4165</v>
      </c>
      <c r="AA296" t="s">
        <v>4166</v>
      </c>
      <c r="AB296" t="s">
        <v>4167</v>
      </c>
      <c r="AC296" t="s">
        <v>74</v>
      </c>
      <c r="AD296" t="s">
        <v>74</v>
      </c>
      <c r="AE296" t="s">
        <v>74</v>
      </c>
      <c r="AF296" t="s">
        <v>74</v>
      </c>
      <c r="AG296">
        <v>48</v>
      </c>
      <c r="AH296">
        <v>7</v>
      </c>
      <c r="AI296">
        <v>9</v>
      </c>
      <c r="AJ296">
        <v>0</v>
      </c>
      <c r="AK296">
        <v>0</v>
      </c>
      <c r="AL296" t="s">
        <v>1838</v>
      </c>
      <c r="AM296" t="s">
        <v>1839</v>
      </c>
      <c r="AN296" t="s">
        <v>1840</v>
      </c>
      <c r="AO296" t="s">
        <v>1841</v>
      </c>
      <c r="AP296" t="s">
        <v>4168</v>
      </c>
      <c r="AQ296" t="s">
        <v>4169</v>
      </c>
      <c r="AR296" t="s">
        <v>4170</v>
      </c>
      <c r="AS296" t="s">
        <v>74</v>
      </c>
      <c r="AT296" t="s">
        <v>74</v>
      </c>
      <c r="AU296">
        <v>2003</v>
      </c>
      <c r="AV296">
        <v>4858</v>
      </c>
      <c r="AW296" t="s">
        <v>74</v>
      </c>
      <c r="AX296" t="s">
        <v>74</v>
      </c>
      <c r="AY296" t="s">
        <v>74</v>
      </c>
      <c r="AZ296" t="s">
        <v>74</v>
      </c>
      <c r="BA296" t="s">
        <v>74</v>
      </c>
      <c r="BB296">
        <v>265</v>
      </c>
      <c r="BC296">
        <v>276</v>
      </c>
      <c r="BD296" t="s">
        <v>74</v>
      </c>
      <c r="BE296" t="s">
        <v>4171</v>
      </c>
      <c r="BF296" t="str">
        <f>HYPERLINK("http://dx.doi.org/10.1117/12.458546","http://dx.doi.org/10.1117/12.458546")</f>
        <v>http://dx.doi.org/10.1117/12.458546</v>
      </c>
      <c r="BG296" t="s">
        <v>74</v>
      </c>
      <c r="BH296" t="s">
        <v>74</v>
      </c>
      <c r="BI296">
        <v>12</v>
      </c>
      <c r="BJ296" t="s">
        <v>4172</v>
      </c>
      <c r="BK296" t="s">
        <v>95</v>
      </c>
      <c r="BL296" t="s">
        <v>4172</v>
      </c>
      <c r="BM296" t="s">
        <v>4173</v>
      </c>
      <c r="BN296" t="s">
        <v>74</v>
      </c>
      <c r="BO296" t="s">
        <v>74</v>
      </c>
      <c r="BP296" t="s">
        <v>74</v>
      </c>
      <c r="BQ296" t="s">
        <v>74</v>
      </c>
      <c r="BR296" t="s">
        <v>98</v>
      </c>
      <c r="BS296" t="s">
        <v>4174</v>
      </c>
      <c r="BT296" t="str">
        <f>HYPERLINK("https%3A%2F%2Fwww.webofscience.com%2Fwos%2Fwoscc%2Ffull-record%2FWOS:000182251600028","View Full Record in Web of Science")</f>
        <v>View Full Record in Web of Science</v>
      </c>
    </row>
    <row r="297" spans="1:72" x14ac:dyDescent="0.15">
      <c r="A297" t="s">
        <v>72</v>
      </c>
      <c r="B297" t="s">
        <v>4175</v>
      </c>
      <c r="C297" t="s">
        <v>74</v>
      </c>
      <c r="D297" t="s">
        <v>4152</v>
      </c>
      <c r="E297" t="s">
        <v>74</v>
      </c>
      <c r="F297" t="s">
        <v>4175</v>
      </c>
      <c r="G297" t="s">
        <v>74</v>
      </c>
      <c r="H297" t="s">
        <v>74</v>
      </c>
      <c r="I297" t="s">
        <v>4176</v>
      </c>
      <c r="J297" t="s">
        <v>4154</v>
      </c>
      <c r="K297" t="s">
        <v>1827</v>
      </c>
      <c r="L297" t="s">
        <v>74</v>
      </c>
      <c r="M297" t="s">
        <v>78</v>
      </c>
      <c r="N297" t="s">
        <v>79</v>
      </c>
      <c r="O297" t="s">
        <v>4156</v>
      </c>
      <c r="P297" t="s">
        <v>4157</v>
      </c>
      <c r="Q297" t="s">
        <v>4158</v>
      </c>
      <c r="R297" t="s">
        <v>74</v>
      </c>
      <c r="S297" t="s">
        <v>74</v>
      </c>
      <c r="T297" t="s">
        <v>4177</v>
      </c>
      <c r="U297" t="s">
        <v>4178</v>
      </c>
      <c r="V297" t="s">
        <v>4179</v>
      </c>
      <c r="W297" t="s">
        <v>4180</v>
      </c>
      <c r="X297" t="s">
        <v>4163</v>
      </c>
      <c r="Y297" t="s">
        <v>4181</v>
      </c>
      <c r="Z297" t="s">
        <v>74</v>
      </c>
      <c r="AA297" t="s">
        <v>4166</v>
      </c>
      <c r="AB297" t="s">
        <v>4182</v>
      </c>
      <c r="AC297" t="s">
        <v>74</v>
      </c>
      <c r="AD297" t="s">
        <v>74</v>
      </c>
      <c r="AE297" t="s">
        <v>74</v>
      </c>
      <c r="AF297" t="s">
        <v>74</v>
      </c>
      <c r="AG297">
        <v>4</v>
      </c>
      <c r="AH297">
        <v>1</v>
      </c>
      <c r="AI297">
        <v>1</v>
      </c>
      <c r="AJ297">
        <v>0</v>
      </c>
      <c r="AK297">
        <v>0</v>
      </c>
      <c r="AL297" t="s">
        <v>1838</v>
      </c>
      <c r="AM297" t="s">
        <v>1839</v>
      </c>
      <c r="AN297" t="s">
        <v>1840</v>
      </c>
      <c r="AO297" t="s">
        <v>1841</v>
      </c>
      <c r="AP297" t="s">
        <v>74</v>
      </c>
      <c r="AQ297" t="s">
        <v>4169</v>
      </c>
      <c r="AR297" t="s">
        <v>1843</v>
      </c>
      <c r="AS297" t="s">
        <v>74</v>
      </c>
      <c r="AT297" t="s">
        <v>74</v>
      </c>
      <c r="AU297">
        <v>2003</v>
      </c>
      <c r="AV297">
        <v>4858</v>
      </c>
      <c r="AW297" t="s">
        <v>74</v>
      </c>
      <c r="AX297" t="s">
        <v>74</v>
      </c>
      <c r="AY297" t="s">
        <v>74</v>
      </c>
      <c r="AZ297" t="s">
        <v>74</v>
      </c>
      <c r="BA297" t="s">
        <v>74</v>
      </c>
      <c r="BB297">
        <v>277</v>
      </c>
      <c r="BC297">
        <v>283</v>
      </c>
      <c r="BD297" t="s">
        <v>74</v>
      </c>
      <c r="BE297" t="s">
        <v>4183</v>
      </c>
      <c r="BF297" t="str">
        <f>HYPERLINK("http://dx.doi.org/10.1117/12.458042","http://dx.doi.org/10.1117/12.458042")</f>
        <v>http://dx.doi.org/10.1117/12.458042</v>
      </c>
      <c r="BG297" t="s">
        <v>74</v>
      </c>
      <c r="BH297" t="s">
        <v>74</v>
      </c>
      <c r="BI297">
        <v>7</v>
      </c>
      <c r="BJ297" t="s">
        <v>4172</v>
      </c>
      <c r="BK297" t="s">
        <v>95</v>
      </c>
      <c r="BL297" t="s">
        <v>4172</v>
      </c>
      <c r="BM297" t="s">
        <v>4173</v>
      </c>
      <c r="BN297" t="s">
        <v>74</v>
      </c>
      <c r="BO297" t="s">
        <v>74</v>
      </c>
      <c r="BP297" t="s">
        <v>74</v>
      </c>
      <c r="BQ297" t="s">
        <v>74</v>
      </c>
      <c r="BR297" t="s">
        <v>98</v>
      </c>
      <c r="BS297" t="s">
        <v>4184</v>
      </c>
      <c r="BT297" t="str">
        <f>HYPERLINK("https%3A%2F%2Fwww.webofscience.com%2Fwos%2Fwoscc%2Ffull-record%2FWOS:000182251600029","View Full Record in Web of Science")</f>
        <v>View Full Record in Web of Science</v>
      </c>
    </row>
    <row r="298" spans="1:72" x14ac:dyDescent="0.15">
      <c r="A298" t="s">
        <v>552</v>
      </c>
      <c r="B298" t="s">
        <v>4185</v>
      </c>
      <c r="C298" t="s">
        <v>74</v>
      </c>
      <c r="D298" t="s">
        <v>74</v>
      </c>
      <c r="E298" t="s">
        <v>74</v>
      </c>
      <c r="F298" t="s">
        <v>4185</v>
      </c>
      <c r="G298" t="s">
        <v>74</v>
      </c>
      <c r="H298" t="s">
        <v>74</v>
      </c>
      <c r="I298" t="s">
        <v>4186</v>
      </c>
      <c r="J298" t="s">
        <v>4187</v>
      </c>
      <c r="K298" t="s">
        <v>74</v>
      </c>
      <c r="L298" t="s">
        <v>74</v>
      </c>
      <c r="M298" t="s">
        <v>78</v>
      </c>
      <c r="N298" t="s">
        <v>775</v>
      </c>
      <c r="O298" t="s">
        <v>74</v>
      </c>
      <c r="P298" t="s">
        <v>74</v>
      </c>
      <c r="Q298" t="s">
        <v>74</v>
      </c>
      <c r="R298" t="s">
        <v>74</v>
      </c>
      <c r="S298" t="s">
        <v>74</v>
      </c>
      <c r="T298" t="s">
        <v>4188</v>
      </c>
      <c r="U298" t="s">
        <v>4189</v>
      </c>
      <c r="V298" t="s">
        <v>4190</v>
      </c>
      <c r="W298" t="s">
        <v>4191</v>
      </c>
      <c r="X298" t="s">
        <v>4192</v>
      </c>
      <c r="Y298" t="s">
        <v>4193</v>
      </c>
      <c r="Z298" t="s">
        <v>74</v>
      </c>
      <c r="AA298" t="s">
        <v>4194</v>
      </c>
      <c r="AB298" t="s">
        <v>74</v>
      </c>
      <c r="AC298" t="s">
        <v>74</v>
      </c>
      <c r="AD298" t="s">
        <v>74</v>
      </c>
      <c r="AE298" t="s">
        <v>74</v>
      </c>
      <c r="AF298" t="s">
        <v>74</v>
      </c>
      <c r="AG298">
        <v>18</v>
      </c>
      <c r="AH298">
        <v>1</v>
      </c>
      <c r="AI298">
        <v>1</v>
      </c>
      <c r="AJ298">
        <v>2</v>
      </c>
      <c r="AK298">
        <v>10</v>
      </c>
      <c r="AL298" t="s">
        <v>2131</v>
      </c>
      <c r="AM298" t="s">
        <v>2132</v>
      </c>
      <c r="AN298" t="s">
        <v>2133</v>
      </c>
      <c r="AO298" t="s">
        <v>4195</v>
      </c>
      <c r="AP298" t="s">
        <v>74</v>
      </c>
      <c r="AQ298" t="s">
        <v>74</v>
      </c>
      <c r="AR298" t="s">
        <v>4187</v>
      </c>
      <c r="AS298" t="s">
        <v>4196</v>
      </c>
      <c r="AT298" t="s">
        <v>74</v>
      </c>
      <c r="AU298">
        <v>2003</v>
      </c>
      <c r="AV298">
        <v>47</v>
      </c>
      <c r="AW298">
        <v>1</v>
      </c>
      <c r="AX298" t="s">
        <v>74</v>
      </c>
      <c r="AY298" t="s">
        <v>74</v>
      </c>
      <c r="AZ298" t="s">
        <v>74</v>
      </c>
      <c r="BA298" t="s">
        <v>74</v>
      </c>
      <c r="BB298">
        <v>77</v>
      </c>
      <c r="BC298">
        <v>84</v>
      </c>
      <c r="BD298" t="s">
        <v>74</v>
      </c>
      <c r="BE298" t="s">
        <v>4197</v>
      </c>
      <c r="BF298" t="str">
        <f>HYPERLINK("http://dx.doi.org/10.1078/0031-4056-00171","http://dx.doi.org/10.1078/0031-4056-00171")</f>
        <v>http://dx.doi.org/10.1078/0031-4056-00171</v>
      </c>
      <c r="BG298" t="s">
        <v>74</v>
      </c>
      <c r="BH298" t="s">
        <v>74</v>
      </c>
      <c r="BI298">
        <v>8</v>
      </c>
      <c r="BJ298" t="s">
        <v>4198</v>
      </c>
      <c r="BK298" t="s">
        <v>569</v>
      </c>
      <c r="BL298" t="s">
        <v>4199</v>
      </c>
      <c r="BM298" t="s">
        <v>4200</v>
      </c>
      <c r="BN298" t="s">
        <v>74</v>
      </c>
      <c r="BO298" t="s">
        <v>74</v>
      </c>
      <c r="BP298" t="s">
        <v>74</v>
      </c>
      <c r="BQ298" t="s">
        <v>74</v>
      </c>
      <c r="BR298" t="s">
        <v>98</v>
      </c>
      <c r="BS298" t="s">
        <v>4201</v>
      </c>
      <c r="BT298" t="str">
        <f>HYPERLINK("https%3A%2F%2Fwww.webofscience.com%2Fwos%2Fwoscc%2Ffull-record%2FWOS:000181084100009","View Full Record in Web of Science")</f>
        <v>View Full Record in Web of Science</v>
      </c>
    </row>
    <row r="299" spans="1:72" x14ac:dyDescent="0.15">
      <c r="A299" t="s">
        <v>72</v>
      </c>
      <c r="B299" t="s">
        <v>4202</v>
      </c>
      <c r="C299" t="s">
        <v>74</v>
      </c>
      <c r="D299" t="s">
        <v>4203</v>
      </c>
      <c r="E299" t="s">
        <v>74</v>
      </c>
      <c r="F299" t="s">
        <v>4202</v>
      </c>
      <c r="G299" t="s">
        <v>74</v>
      </c>
      <c r="H299" t="s">
        <v>74</v>
      </c>
      <c r="I299" t="s">
        <v>4204</v>
      </c>
      <c r="J299" t="s">
        <v>4205</v>
      </c>
      <c r="K299" t="s">
        <v>74</v>
      </c>
      <c r="L299" t="s">
        <v>74</v>
      </c>
      <c r="M299" t="s">
        <v>78</v>
      </c>
      <c r="N299" t="s">
        <v>79</v>
      </c>
      <c r="O299" t="s">
        <v>4206</v>
      </c>
      <c r="P299" t="s">
        <v>2358</v>
      </c>
      <c r="Q299" t="s">
        <v>4207</v>
      </c>
      <c r="R299" t="s">
        <v>74</v>
      </c>
      <c r="S299" t="s">
        <v>74</v>
      </c>
      <c r="T299" t="s">
        <v>74</v>
      </c>
      <c r="U299" t="s">
        <v>4208</v>
      </c>
      <c r="V299" t="s">
        <v>4209</v>
      </c>
      <c r="W299" t="s">
        <v>4210</v>
      </c>
      <c r="X299" t="s">
        <v>4211</v>
      </c>
      <c r="Y299" t="s">
        <v>4212</v>
      </c>
      <c r="Z299" t="s">
        <v>74</v>
      </c>
      <c r="AA299" t="s">
        <v>4213</v>
      </c>
      <c r="AB299" t="s">
        <v>74</v>
      </c>
      <c r="AC299" t="s">
        <v>74</v>
      </c>
      <c r="AD299" t="s">
        <v>74</v>
      </c>
      <c r="AE299" t="s">
        <v>74</v>
      </c>
      <c r="AF299" t="s">
        <v>74</v>
      </c>
      <c r="AG299">
        <v>17</v>
      </c>
      <c r="AH299">
        <v>1</v>
      </c>
      <c r="AI299">
        <v>1</v>
      </c>
      <c r="AJ299">
        <v>0</v>
      </c>
      <c r="AK299">
        <v>0</v>
      </c>
      <c r="AL299" t="s">
        <v>4214</v>
      </c>
      <c r="AM299" t="s">
        <v>91</v>
      </c>
      <c r="AN299" t="s">
        <v>4215</v>
      </c>
      <c r="AO299" t="s">
        <v>74</v>
      </c>
      <c r="AP299" t="s">
        <v>74</v>
      </c>
      <c r="AQ299" t="s">
        <v>4216</v>
      </c>
      <c r="AR299" t="s">
        <v>74</v>
      </c>
      <c r="AS299" t="s">
        <v>74</v>
      </c>
      <c r="AT299" t="s">
        <v>74</v>
      </c>
      <c r="AU299">
        <v>2003</v>
      </c>
      <c r="AV299" t="s">
        <v>74</v>
      </c>
      <c r="AW299" t="s">
        <v>74</v>
      </c>
      <c r="AX299" t="s">
        <v>74</v>
      </c>
      <c r="AY299" t="s">
        <v>74</v>
      </c>
      <c r="AZ299" t="s">
        <v>74</v>
      </c>
      <c r="BA299" t="s">
        <v>74</v>
      </c>
      <c r="BB299">
        <v>287</v>
      </c>
      <c r="BC299">
        <v>290</v>
      </c>
      <c r="BD299" t="s">
        <v>74</v>
      </c>
      <c r="BE299" t="s">
        <v>74</v>
      </c>
      <c r="BF299" t="s">
        <v>74</v>
      </c>
      <c r="BG299" t="s">
        <v>74</v>
      </c>
      <c r="BH299" t="s">
        <v>74</v>
      </c>
      <c r="BI299">
        <v>4</v>
      </c>
      <c r="BJ299" t="s">
        <v>1813</v>
      </c>
      <c r="BK299" t="s">
        <v>95</v>
      </c>
      <c r="BL299" t="s">
        <v>1814</v>
      </c>
      <c r="BM299" t="s">
        <v>4217</v>
      </c>
      <c r="BN299" t="s">
        <v>74</v>
      </c>
      <c r="BO299" t="s">
        <v>74</v>
      </c>
      <c r="BP299" t="s">
        <v>74</v>
      </c>
      <c r="BQ299" t="s">
        <v>74</v>
      </c>
      <c r="BR299" t="s">
        <v>98</v>
      </c>
      <c r="BS299" t="s">
        <v>4218</v>
      </c>
      <c r="BT299" t="str">
        <f>HYPERLINK("https%3A%2F%2Fwww.webofscience.com%2Fwos%2Fwoscc%2Ffull-record%2FWOS:000185049300052","View Full Record in Web of Science")</f>
        <v>View Full Record in Web of Science</v>
      </c>
    </row>
    <row r="300" spans="1:72" x14ac:dyDescent="0.15">
      <c r="A300" t="s">
        <v>72</v>
      </c>
      <c r="B300" t="s">
        <v>4219</v>
      </c>
      <c r="C300" t="s">
        <v>74</v>
      </c>
      <c r="D300" t="s">
        <v>4203</v>
      </c>
      <c r="E300" t="s">
        <v>74</v>
      </c>
      <c r="F300" t="s">
        <v>4219</v>
      </c>
      <c r="G300" t="s">
        <v>74</v>
      </c>
      <c r="H300" t="s">
        <v>74</v>
      </c>
      <c r="I300" t="s">
        <v>4220</v>
      </c>
      <c r="J300" t="s">
        <v>4205</v>
      </c>
      <c r="K300" t="s">
        <v>74</v>
      </c>
      <c r="L300" t="s">
        <v>74</v>
      </c>
      <c r="M300" t="s">
        <v>78</v>
      </c>
      <c r="N300" t="s">
        <v>79</v>
      </c>
      <c r="O300" t="s">
        <v>4206</v>
      </c>
      <c r="P300" t="s">
        <v>2358</v>
      </c>
      <c r="Q300" t="s">
        <v>4207</v>
      </c>
      <c r="R300" t="s">
        <v>74</v>
      </c>
      <c r="S300" t="s">
        <v>74</v>
      </c>
      <c r="T300" t="s">
        <v>74</v>
      </c>
      <c r="U300" t="s">
        <v>4221</v>
      </c>
      <c r="V300" t="s">
        <v>4222</v>
      </c>
      <c r="W300" t="s">
        <v>4223</v>
      </c>
      <c r="X300" t="s">
        <v>74</v>
      </c>
      <c r="Y300" t="s">
        <v>4224</v>
      </c>
      <c r="Z300" t="s">
        <v>74</v>
      </c>
      <c r="AA300" t="s">
        <v>74</v>
      </c>
      <c r="AB300" t="s">
        <v>74</v>
      </c>
      <c r="AC300" t="s">
        <v>74</v>
      </c>
      <c r="AD300" t="s">
        <v>74</v>
      </c>
      <c r="AE300" t="s">
        <v>74</v>
      </c>
      <c r="AF300" t="s">
        <v>74</v>
      </c>
      <c r="AG300">
        <v>8</v>
      </c>
      <c r="AH300">
        <v>10</v>
      </c>
      <c r="AI300">
        <v>11</v>
      </c>
      <c r="AJ300">
        <v>0</v>
      </c>
      <c r="AK300">
        <v>1</v>
      </c>
      <c r="AL300" t="s">
        <v>4214</v>
      </c>
      <c r="AM300" t="s">
        <v>91</v>
      </c>
      <c r="AN300" t="s">
        <v>4215</v>
      </c>
      <c r="AO300" t="s">
        <v>74</v>
      </c>
      <c r="AP300" t="s">
        <v>74</v>
      </c>
      <c r="AQ300" t="s">
        <v>4216</v>
      </c>
      <c r="AR300" t="s">
        <v>74</v>
      </c>
      <c r="AS300" t="s">
        <v>74</v>
      </c>
      <c r="AT300" t="s">
        <v>74</v>
      </c>
      <c r="AU300">
        <v>2003</v>
      </c>
      <c r="AV300" t="s">
        <v>74</v>
      </c>
      <c r="AW300" t="s">
        <v>74</v>
      </c>
      <c r="AX300" t="s">
        <v>74</v>
      </c>
      <c r="AY300" t="s">
        <v>74</v>
      </c>
      <c r="AZ300" t="s">
        <v>74</v>
      </c>
      <c r="BA300" t="s">
        <v>74</v>
      </c>
      <c r="BB300">
        <v>337</v>
      </c>
      <c r="BC300">
        <v>341</v>
      </c>
      <c r="BD300" t="s">
        <v>74</v>
      </c>
      <c r="BE300" t="s">
        <v>74</v>
      </c>
      <c r="BF300" t="s">
        <v>74</v>
      </c>
      <c r="BG300" t="s">
        <v>74</v>
      </c>
      <c r="BH300" t="s">
        <v>74</v>
      </c>
      <c r="BI300">
        <v>5</v>
      </c>
      <c r="BJ300" t="s">
        <v>1813</v>
      </c>
      <c r="BK300" t="s">
        <v>95</v>
      </c>
      <c r="BL300" t="s">
        <v>1814</v>
      </c>
      <c r="BM300" t="s">
        <v>4217</v>
      </c>
      <c r="BN300" t="s">
        <v>74</v>
      </c>
      <c r="BO300" t="s">
        <v>74</v>
      </c>
      <c r="BP300" t="s">
        <v>74</v>
      </c>
      <c r="BQ300" t="s">
        <v>74</v>
      </c>
      <c r="BR300" t="s">
        <v>98</v>
      </c>
      <c r="BS300" t="s">
        <v>4225</v>
      </c>
      <c r="BT300" t="str">
        <f>HYPERLINK("https%3A%2F%2Fwww.webofscience.com%2Fwos%2Fwoscc%2Ffull-record%2FWOS:000185049300061","View Full Record in Web of Science")</f>
        <v>View Full Record in Web of Science</v>
      </c>
    </row>
    <row r="301" spans="1:72" x14ac:dyDescent="0.15">
      <c r="A301" t="s">
        <v>72</v>
      </c>
      <c r="B301" t="s">
        <v>4226</v>
      </c>
      <c r="C301" t="s">
        <v>74</v>
      </c>
      <c r="D301" t="s">
        <v>4203</v>
      </c>
      <c r="E301" t="s">
        <v>74</v>
      </c>
      <c r="F301" t="s">
        <v>4226</v>
      </c>
      <c r="G301" t="s">
        <v>74</v>
      </c>
      <c r="H301" t="s">
        <v>74</v>
      </c>
      <c r="I301" t="s">
        <v>4227</v>
      </c>
      <c r="J301" t="s">
        <v>4205</v>
      </c>
      <c r="K301" t="s">
        <v>74</v>
      </c>
      <c r="L301" t="s">
        <v>74</v>
      </c>
      <c r="M301" t="s">
        <v>78</v>
      </c>
      <c r="N301" t="s">
        <v>79</v>
      </c>
      <c r="O301" t="s">
        <v>4206</v>
      </c>
      <c r="P301" t="s">
        <v>2358</v>
      </c>
      <c r="Q301" t="s">
        <v>4207</v>
      </c>
      <c r="R301" t="s">
        <v>74</v>
      </c>
      <c r="S301" t="s">
        <v>74</v>
      </c>
      <c r="T301" t="s">
        <v>74</v>
      </c>
      <c r="U301" t="s">
        <v>4228</v>
      </c>
      <c r="V301" t="s">
        <v>4229</v>
      </c>
      <c r="W301" t="s">
        <v>4230</v>
      </c>
      <c r="X301" t="s">
        <v>4231</v>
      </c>
      <c r="Y301" t="s">
        <v>4232</v>
      </c>
      <c r="Z301" t="s">
        <v>74</v>
      </c>
      <c r="AA301" t="s">
        <v>74</v>
      </c>
      <c r="AB301" t="s">
        <v>74</v>
      </c>
      <c r="AC301" t="s">
        <v>74</v>
      </c>
      <c r="AD301" t="s">
        <v>74</v>
      </c>
      <c r="AE301" t="s">
        <v>74</v>
      </c>
      <c r="AF301" t="s">
        <v>74</v>
      </c>
      <c r="AG301">
        <v>29</v>
      </c>
      <c r="AH301">
        <v>13</v>
      </c>
      <c r="AI301">
        <v>14</v>
      </c>
      <c r="AJ301">
        <v>0</v>
      </c>
      <c r="AK301">
        <v>3</v>
      </c>
      <c r="AL301" t="s">
        <v>4214</v>
      </c>
      <c r="AM301" t="s">
        <v>91</v>
      </c>
      <c r="AN301" t="s">
        <v>4215</v>
      </c>
      <c r="AO301" t="s">
        <v>74</v>
      </c>
      <c r="AP301" t="s">
        <v>74</v>
      </c>
      <c r="AQ301" t="s">
        <v>4216</v>
      </c>
      <c r="AR301" t="s">
        <v>74</v>
      </c>
      <c r="AS301" t="s">
        <v>74</v>
      </c>
      <c r="AT301" t="s">
        <v>74</v>
      </c>
      <c r="AU301">
        <v>2003</v>
      </c>
      <c r="AV301" t="s">
        <v>74</v>
      </c>
      <c r="AW301" t="s">
        <v>74</v>
      </c>
      <c r="AX301" t="s">
        <v>74</v>
      </c>
      <c r="AY301" t="s">
        <v>74</v>
      </c>
      <c r="AZ301" t="s">
        <v>74</v>
      </c>
      <c r="BA301" t="s">
        <v>74</v>
      </c>
      <c r="BB301">
        <v>349</v>
      </c>
      <c r="BC301">
        <v>354</v>
      </c>
      <c r="BD301" t="s">
        <v>74</v>
      </c>
      <c r="BE301" t="s">
        <v>74</v>
      </c>
      <c r="BF301" t="s">
        <v>74</v>
      </c>
      <c r="BG301" t="s">
        <v>74</v>
      </c>
      <c r="BH301" t="s">
        <v>74</v>
      </c>
      <c r="BI301">
        <v>6</v>
      </c>
      <c r="BJ301" t="s">
        <v>1813</v>
      </c>
      <c r="BK301" t="s">
        <v>95</v>
      </c>
      <c r="BL301" t="s">
        <v>1814</v>
      </c>
      <c r="BM301" t="s">
        <v>4217</v>
      </c>
      <c r="BN301" t="s">
        <v>74</v>
      </c>
      <c r="BO301" t="s">
        <v>74</v>
      </c>
      <c r="BP301" t="s">
        <v>74</v>
      </c>
      <c r="BQ301" t="s">
        <v>74</v>
      </c>
      <c r="BR301" t="s">
        <v>98</v>
      </c>
      <c r="BS301" t="s">
        <v>4233</v>
      </c>
      <c r="BT301" t="str">
        <f>HYPERLINK("https%3A%2F%2Fwww.webofscience.com%2Fwos%2Fwoscc%2Ffull-record%2FWOS:000185049300063","View Full Record in Web of Science")</f>
        <v>View Full Record in Web of Science</v>
      </c>
    </row>
    <row r="302" spans="1:72" x14ac:dyDescent="0.15">
      <c r="A302" t="s">
        <v>72</v>
      </c>
      <c r="B302" t="s">
        <v>4234</v>
      </c>
      <c r="C302" t="s">
        <v>74</v>
      </c>
      <c r="D302" t="s">
        <v>4203</v>
      </c>
      <c r="E302" t="s">
        <v>74</v>
      </c>
      <c r="F302" t="s">
        <v>4234</v>
      </c>
      <c r="G302" t="s">
        <v>74</v>
      </c>
      <c r="H302" t="s">
        <v>74</v>
      </c>
      <c r="I302" t="s">
        <v>4235</v>
      </c>
      <c r="J302" t="s">
        <v>4205</v>
      </c>
      <c r="K302" t="s">
        <v>74</v>
      </c>
      <c r="L302" t="s">
        <v>74</v>
      </c>
      <c r="M302" t="s">
        <v>78</v>
      </c>
      <c r="N302" t="s">
        <v>79</v>
      </c>
      <c r="O302" t="s">
        <v>4206</v>
      </c>
      <c r="P302" t="s">
        <v>2358</v>
      </c>
      <c r="Q302" t="s">
        <v>4207</v>
      </c>
      <c r="R302" t="s">
        <v>74</v>
      </c>
      <c r="S302" t="s">
        <v>74</v>
      </c>
      <c r="T302" t="s">
        <v>74</v>
      </c>
      <c r="U302" t="s">
        <v>4236</v>
      </c>
      <c r="V302" t="s">
        <v>4237</v>
      </c>
      <c r="W302" t="s">
        <v>4238</v>
      </c>
      <c r="X302" t="s">
        <v>4239</v>
      </c>
      <c r="Y302" t="s">
        <v>4240</v>
      </c>
      <c r="Z302" t="s">
        <v>74</v>
      </c>
      <c r="AA302" t="s">
        <v>4241</v>
      </c>
      <c r="AB302" t="s">
        <v>4242</v>
      </c>
      <c r="AC302" t="s">
        <v>74</v>
      </c>
      <c r="AD302" t="s">
        <v>74</v>
      </c>
      <c r="AE302" t="s">
        <v>74</v>
      </c>
      <c r="AF302" t="s">
        <v>74</v>
      </c>
      <c r="AG302">
        <v>23</v>
      </c>
      <c r="AH302">
        <v>0</v>
      </c>
      <c r="AI302">
        <v>0</v>
      </c>
      <c r="AJ302">
        <v>0</v>
      </c>
      <c r="AK302">
        <v>2</v>
      </c>
      <c r="AL302" t="s">
        <v>4214</v>
      </c>
      <c r="AM302" t="s">
        <v>91</v>
      </c>
      <c r="AN302" t="s">
        <v>4215</v>
      </c>
      <c r="AO302" t="s">
        <v>74</v>
      </c>
      <c r="AP302" t="s">
        <v>74</v>
      </c>
      <c r="AQ302" t="s">
        <v>4216</v>
      </c>
      <c r="AR302" t="s">
        <v>74</v>
      </c>
      <c r="AS302" t="s">
        <v>74</v>
      </c>
      <c r="AT302" t="s">
        <v>74</v>
      </c>
      <c r="AU302">
        <v>2003</v>
      </c>
      <c r="AV302" t="s">
        <v>74</v>
      </c>
      <c r="AW302" t="s">
        <v>74</v>
      </c>
      <c r="AX302" t="s">
        <v>74</v>
      </c>
      <c r="AY302" t="s">
        <v>74</v>
      </c>
      <c r="AZ302" t="s">
        <v>74</v>
      </c>
      <c r="BA302" t="s">
        <v>74</v>
      </c>
      <c r="BB302">
        <v>851</v>
      </c>
      <c r="BC302">
        <v>856</v>
      </c>
      <c r="BD302" t="s">
        <v>74</v>
      </c>
      <c r="BE302" t="s">
        <v>74</v>
      </c>
      <c r="BF302" t="s">
        <v>74</v>
      </c>
      <c r="BG302" t="s">
        <v>74</v>
      </c>
      <c r="BH302" t="s">
        <v>74</v>
      </c>
      <c r="BI302">
        <v>6</v>
      </c>
      <c r="BJ302" t="s">
        <v>1813</v>
      </c>
      <c r="BK302" t="s">
        <v>95</v>
      </c>
      <c r="BL302" t="s">
        <v>1814</v>
      </c>
      <c r="BM302" t="s">
        <v>4217</v>
      </c>
      <c r="BN302" t="s">
        <v>74</v>
      </c>
      <c r="BO302" t="s">
        <v>74</v>
      </c>
      <c r="BP302" t="s">
        <v>74</v>
      </c>
      <c r="BQ302" t="s">
        <v>74</v>
      </c>
      <c r="BR302" t="s">
        <v>98</v>
      </c>
      <c r="BS302" t="s">
        <v>4243</v>
      </c>
      <c r="BT302" t="str">
        <f>HYPERLINK("https%3A%2F%2Fwww.webofscience.com%2Fwos%2Fwoscc%2Ffull-record%2FWOS:000185049300149","View Full Record in Web of Science")</f>
        <v>View Full Record in Web of Science</v>
      </c>
    </row>
    <row r="303" spans="1:72" x14ac:dyDescent="0.15">
      <c r="A303" t="s">
        <v>72</v>
      </c>
      <c r="B303" t="s">
        <v>4244</v>
      </c>
      <c r="C303" t="s">
        <v>74</v>
      </c>
      <c r="D303" t="s">
        <v>4203</v>
      </c>
      <c r="E303" t="s">
        <v>74</v>
      </c>
      <c r="F303" t="s">
        <v>4244</v>
      </c>
      <c r="G303" t="s">
        <v>74</v>
      </c>
      <c r="H303" t="s">
        <v>74</v>
      </c>
      <c r="I303" t="s">
        <v>4245</v>
      </c>
      <c r="J303" t="s">
        <v>4205</v>
      </c>
      <c r="K303" t="s">
        <v>74</v>
      </c>
      <c r="L303" t="s">
        <v>74</v>
      </c>
      <c r="M303" t="s">
        <v>78</v>
      </c>
      <c r="N303" t="s">
        <v>79</v>
      </c>
      <c r="O303" t="s">
        <v>4206</v>
      </c>
      <c r="P303" t="s">
        <v>2358</v>
      </c>
      <c r="Q303" t="s">
        <v>4207</v>
      </c>
      <c r="R303" t="s">
        <v>74</v>
      </c>
      <c r="S303" t="s">
        <v>74</v>
      </c>
      <c r="T303" t="s">
        <v>74</v>
      </c>
      <c r="U303" t="s">
        <v>74</v>
      </c>
      <c r="V303" t="s">
        <v>4246</v>
      </c>
      <c r="W303" t="s">
        <v>4247</v>
      </c>
      <c r="X303" t="s">
        <v>4248</v>
      </c>
      <c r="Y303" t="s">
        <v>4249</v>
      </c>
      <c r="Z303" t="s">
        <v>74</v>
      </c>
      <c r="AA303" t="s">
        <v>4250</v>
      </c>
      <c r="AB303" t="s">
        <v>4251</v>
      </c>
      <c r="AC303" t="s">
        <v>74</v>
      </c>
      <c r="AD303" t="s">
        <v>74</v>
      </c>
      <c r="AE303" t="s">
        <v>74</v>
      </c>
      <c r="AF303" t="s">
        <v>74</v>
      </c>
      <c r="AG303">
        <v>8</v>
      </c>
      <c r="AH303">
        <v>21</v>
      </c>
      <c r="AI303">
        <v>21</v>
      </c>
      <c r="AJ303">
        <v>0</v>
      </c>
      <c r="AK303">
        <v>2</v>
      </c>
      <c r="AL303" t="s">
        <v>4214</v>
      </c>
      <c r="AM303" t="s">
        <v>91</v>
      </c>
      <c r="AN303" t="s">
        <v>4215</v>
      </c>
      <c r="AO303" t="s">
        <v>74</v>
      </c>
      <c r="AP303" t="s">
        <v>74</v>
      </c>
      <c r="AQ303" t="s">
        <v>4216</v>
      </c>
      <c r="AR303" t="s">
        <v>74</v>
      </c>
      <c r="AS303" t="s">
        <v>74</v>
      </c>
      <c r="AT303" t="s">
        <v>74</v>
      </c>
      <c r="AU303">
        <v>2003</v>
      </c>
      <c r="AV303" t="s">
        <v>74</v>
      </c>
      <c r="AW303" t="s">
        <v>74</v>
      </c>
      <c r="AX303" t="s">
        <v>74</v>
      </c>
      <c r="AY303" t="s">
        <v>74</v>
      </c>
      <c r="AZ303" t="s">
        <v>74</v>
      </c>
      <c r="BA303" t="s">
        <v>74</v>
      </c>
      <c r="BB303">
        <v>929</v>
      </c>
      <c r="BC303">
        <v>933</v>
      </c>
      <c r="BD303" t="s">
        <v>74</v>
      </c>
      <c r="BE303" t="s">
        <v>74</v>
      </c>
      <c r="BF303" t="s">
        <v>74</v>
      </c>
      <c r="BG303" t="s">
        <v>74</v>
      </c>
      <c r="BH303" t="s">
        <v>74</v>
      </c>
      <c r="BI303">
        <v>5</v>
      </c>
      <c r="BJ303" t="s">
        <v>1813</v>
      </c>
      <c r="BK303" t="s">
        <v>95</v>
      </c>
      <c r="BL303" t="s">
        <v>1814</v>
      </c>
      <c r="BM303" t="s">
        <v>4217</v>
      </c>
      <c r="BN303" t="s">
        <v>74</v>
      </c>
      <c r="BO303" t="s">
        <v>74</v>
      </c>
      <c r="BP303" t="s">
        <v>74</v>
      </c>
      <c r="BQ303" t="s">
        <v>74</v>
      </c>
      <c r="BR303" t="s">
        <v>98</v>
      </c>
      <c r="BS303" t="s">
        <v>4252</v>
      </c>
      <c r="BT303" t="str">
        <f>HYPERLINK("https%3A%2F%2Fwww.webofscience.com%2Fwos%2Fwoscc%2Ffull-record%2FWOS:000185049300163","View Full Record in Web of Science")</f>
        <v>View Full Record in Web of Science</v>
      </c>
    </row>
    <row r="304" spans="1:72" x14ac:dyDescent="0.15">
      <c r="A304" t="s">
        <v>72</v>
      </c>
      <c r="B304" t="s">
        <v>4253</v>
      </c>
      <c r="C304" t="s">
        <v>74</v>
      </c>
      <c r="D304" t="s">
        <v>4203</v>
      </c>
      <c r="E304" t="s">
        <v>74</v>
      </c>
      <c r="F304" t="s">
        <v>4253</v>
      </c>
      <c r="G304" t="s">
        <v>74</v>
      </c>
      <c r="H304" t="s">
        <v>74</v>
      </c>
      <c r="I304" t="s">
        <v>4254</v>
      </c>
      <c r="J304" t="s">
        <v>4205</v>
      </c>
      <c r="K304" t="s">
        <v>74</v>
      </c>
      <c r="L304" t="s">
        <v>74</v>
      </c>
      <c r="M304" t="s">
        <v>78</v>
      </c>
      <c r="N304" t="s">
        <v>79</v>
      </c>
      <c r="O304" t="s">
        <v>4206</v>
      </c>
      <c r="P304" t="s">
        <v>2358</v>
      </c>
      <c r="Q304" t="s">
        <v>4207</v>
      </c>
      <c r="R304" t="s">
        <v>74</v>
      </c>
      <c r="S304" t="s">
        <v>74</v>
      </c>
      <c r="T304" t="s">
        <v>74</v>
      </c>
      <c r="U304" t="s">
        <v>74</v>
      </c>
      <c r="V304" t="s">
        <v>4255</v>
      </c>
      <c r="W304" t="s">
        <v>4256</v>
      </c>
      <c r="X304" t="s">
        <v>4257</v>
      </c>
      <c r="Y304" t="s">
        <v>4258</v>
      </c>
      <c r="Z304" t="s">
        <v>74</v>
      </c>
      <c r="AA304" t="s">
        <v>4259</v>
      </c>
      <c r="AB304" t="s">
        <v>4260</v>
      </c>
      <c r="AC304" t="s">
        <v>74</v>
      </c>
      <c r="AD304" t="s">
        <v>74</v>
      </c>
      <c r="AE304" t="s">
        <v>74</v>
      </c>
      <c r="AF304" t="s">
        <v>74</v>
      </c>
      <c r="AG304">
        <v>13</v>
      </c>
      <c r="AH304">
        <v>12</v>
      </c>
      <c r="AI304">
        <v>13</v>
      </c>
      <c r="AJ304">
        <v>0</v>
      </c>
      <c r="AK304">
        <v>2</v>
      </c>
      <c r="AL304" t="s">
        <v>4214</v>
      </c>
      <c r="AM304" t="s">
        <v>91</v>
      </c>
      <c r="AN304" t="s">
        <v>4215</v>
      </c>
      <c r="AO304" t="s">
        <v>74</v>
      </c>
      <c r="AP304" t="s">
        <v>74</v>
      </c>
      <c r="AQ304" t="s">
        <v>4216</v>
      </c>
      <c r="AR304" t="s">
        <v>74</v>
      </c>
      <c r="AS304" t="s">
        <v>74</v>
      </c>
      <c r="AT304" t="s">
        <v>74</v>
      </c>
      <c r="AU304">
        <v>2003</v>
      </c>
      <c r="AV304" t="s">
        <v>74</v>
      </c>
      <c r="AW304" t="s">
        <v>74</v>
      </c>
      <c r="AX304" t="s">
        <v>74</v>
      </c>
      <c r="AY304" t="s">
        <v>74</v>
      </c>
      <c r="AZ304" t="s">
        <v>74</v>
      </c>
      <c r="BA304" t="s">
        <v>74</v>
      </c>
      <c r="BB304">
        <v>1183</v>
      </c>
      <c r="BC304">
        <v>1188</v>
      </c>
      <c r="BD304" t="s">
        <v>74</v>
      </c>
      <c r="BE304" t="s">
        <v>74</v>
      </c>
      <c r="BF304" t="s">
        <v>74</v>
      </c>
      <c r="BG304" t="s">
        <v>74</v>
      </c>
      <c r="BH304" t="s">
        <v>74</v>
      </c>
      <c r="BI304">
        <v>6</v>
      </c>
      <c r="BJ304" t="s">
        <v>1813</v>
      </c>
      <c r="BK304" t="s">
        <v>95</v>
      </c>
      <c r="BL304" t="s">
        <v>1814</v>
      </c>
      <c r="BM304" t="s">
        <v>4217</v>
      </c>
      <c r="BN304" t="s">
        <v>74</v>
      </c>
      <c r="BO304" t="s">
        <v>74</v>
      </c>
      <c r="BP304" t="s">
        <v>74</v>
      </c>
      <c r="BQ304" t="s">
        <v>74</v>
      </c>
      <c r="BR304" t="s">
        <v>98</v>
      </c>
      <c r="BS304" t="s">
        <v>4261</v>
      </c>
      <c r="BT304" t="str">
        <f>HYPERLINK("https%3A%2F%2Fwww.webofscience.com%2Fwos%2Fwoscc%2Ffull-record%2FWOS:000185049300208","View Full Record in Web of Science")</f>
        <v>View Full Record in Web of Science</v>
      </c>
    </row>
    <row r="305" spans="1:72" x14ac:dyDescent="0.15">
      <c r="A305" t="s">
        <v>552</v>
      </c>
      <c r="B305" t="s">
        <v>4262</v>
      </c>
      <c r="C305" t="s">
        <v>74</v>
      </c>
      <c r="D305" t="s">
        <v>74</v>
      </c>
      <c r="E305" t="s">
        <v>74</v>
      </c>
      <c r="F305" t="s">
        <v>4262</v>
      </c>
      <c r="G305" t="s">
        <v>74</v>
      </c>
      <c r="H305" t="s">
        <v>74</v>
      </c>
      <c r="I305" t="s">
        <v>4263</v>
      </c>
      <c r="J305" t="s">
        <v>4264</v>
      </c>
      <c r="K305" t="s">
        <v>74</v>
      </c>
      <c r="L305" t="s">
        <v>74</v>
      </c>
      <c r="M305" t="s">
        <v>78</v>
      </c>
      <c r="N305" t="s">
        <v>775</v>
      </c>
      <c r="O305" t="s">
        <v>74</v>
      </c>
      <c r="P305" t="s">
        <v>74</v>
      </c>
      <c r="Q305" t="s">
        <v>74</v>
      </c>
      <c r="R305" t="s">
        <v>74</v>
      </c>
      <c r="S305" t="s">
        <v>74</v>
      </c>
      <c r="T305" t="s">
        <v>74</v>
      </c>
      <c r="U305" t="s">
        <v>4265</v>
      </c>
      <c r="V305" t="s">
        <v>4266</v>
      </c>
      <c r="W305" t="s">
        <v>4267</v>
      </c>
      <c r="X305" t="s">
        <v>4268</v>
      </c>
      <c r="Y305" t="s">
        <v>4269</v>
      </c>
      <c r="Z305" t="s">
        <v>4270</v>
      </c>
      <c r="AA305" t="s">
        <v>4271</v>
      </c>
      <c r="AB305" t="s">
        <v>4272</v>
      </c>
      <c r="AC305" t="s">
        <v>74</v>
      </c>
      <c r="AD305" t="s">
        <v>74</v>
      </c>
      <c r="AE305" t="s">
        <v>74</v>
      </c>
      <c r="AF305" t="s">
        <v>74</v>
      </c>
      <c r="AG305">
        <v>75</v>
      </c>
      <c r="AH305">
        <v>241</v>
      </c>
      <c r="AI305">
        <v>286</v>
      </c>
      <c r="AJ305">
        <v>3</v>
      </c>
      <c r="AK305">
        <v>50</v>
      </c>
      <c r="AL305" t="s">
        <v>1167</v>
      </c>
      <c r="AM305" t="s">
        <v>1168</v>
      </c>
      <c r="AN305" t="s">
        <v>1169</v>
      </c>
      <c r="AO305" t="s">
        <v>4273</v>
      </c>
      <c r="AP305" t="s">
        <v>4274</v>
      </c>
      <c r="AQ305" t="s">
        <v>74</v>
      </c>
      <c r="AR305" t="s">
        <v>4275</v>
      </c>
      <c r="AS305" t="s">
        <v>4276</v>
      </c>
      <c r="AT305" t="s">
        <v>566</v>
      </c>
      <c r="AU305">
        <v>2003</v>
      </c>
      <c r="AV305">
        <v>2</v>
      </c>
      <c r="AW305">
        <v>1</v>
      </c>
      <c r="AX305" t="s">
        <v>74</v>
      </c>
      <c r="AY305" t="s">
        <v>74</v>
      </c>
      <c r="AZ305" t="s">
        <v>74</v>
      </c>
      <c r="BA305" t="s">
        <v>74</v>
      </c>
      <c r="BB305">
        <v>5</v>
      </c>
      <c r="BC305">
        <v>15</v>
      </c>
      <c r="BD305" t="s">
        <v>74</v>
      </c>
      <c r="BE305" t="s">
        <v>4277</v>
      </c>
      <c r="BF305" t="str">
        <f>HYPERLINK("http://dx.doi.org/10.1039/b211155c","http://dx.doi.org/10.1039/b211155c")</f>
        <v>http://dx.doi.org/10.1039/b211155c</v>
      </c>
      <c r="BG305" t="s">
        <v>74</v>
      </c>
      <c r="BH305" t="s">
        <v>74</v>
      </c>
      <c r="BI305">
        <v>11</v>
      </c>
      <c r="BJ305" t="s">
        <v>4278</v>
      </c>
      <c r="BK305" t="s">
        <v>569</v>
      </c>
      <c r="BL305" t="s">
        <v>4279</v>
      </c>
      <c r="BM305" t="s">
        <v>4280</v>
      </c>
      <c r="BN305">
        <v>12659535</v>
      </c>
      <c r="BO305" t="s">
        <v>3510</v>
      </c>
      <c r="BP305" t="s">
        <v>74</v>
      </c>
      <c r="BQ305" t="s">
        <v>74</v>
      </c>
      <c r="BR305" t="s">
        <v>98</v>
      </c>
      <c r="BS305" t="s">
        <v>4281</v>
      </c>
      <c r="BT305" t="str">
        <f>HYPERLINK("https%3A%2F%2Fwww.webofscience.com%2Fwos%2Fwoscc%2Ffull-record%2FWOS:000180797800004","View Full Record in Web of Science")</f>
        <v>View Full Record in Web of Science</v>
      </c>
    </row>
    <row r="306" spans="1:72" x14ac:dyDescent="0.15">
      <c r="A306" t="s">
        <v>552</v>
      </c>
      <c r="B306" t="s">
        <v>4282</v>
      </c>
      <c r="C306" t="s">
        <v>74</v>
      </c>
      <c r="D306" t="s">
        <v>74</v>
      </c>
      <c r="E306" t="s">
        <v>74</v>
      </c>
      <c r="F306" t="s">
        <v>4282</v>
      </c>
      <c r="G306" t="s">
        <v>74</v>
      </c>
      <c r="H306" t="s">
        <v>74</v>
      </c>
      <c r="I306" t="s">
        <v>4283</v>
      </c>
      <c r="J306" t="s">
        <v>4264</v>
      </c>
      <c r="K306" t="s">
        <v>74</v>
      </c>
      <c r="L306" t="s">
        <v>74</v>
      </c>
      <c r="M306" t="s">
        <v>78</v>
      </c>
      <c r="N306" t="s">
        <v>1114</v>
      </c>
      <c r="O306" t="s">
        <v>74</v>
      </c>
      <c r="P306" t="s">
        <v>74</v>
      </c>
      <c r="Q306" t="s">
        <v>74</v>
      </c>
      <c r="R306" t="s">
        <v>74</v>
      </c>
      <c r="S306" t="s">
        <v>74</v>
      </c>
      <c r="T306" t="s">
        <v>74</v>
      </c>
      <c r="U306" t="s">
        <v>4284</v>
      </c>
      <c r="V306" t="s">
        <v>4285</v>
      </c>
      <c r="W306" t="s">
        <v>4286</v>
      </c>
      <c r="X306" t="s">
        <v>4287</v>
      </c>
      <c r="Y306" t="s">
        <v>74</v>
      </c>
      <c r="Z306" t="s">
        <v>4288</v>
      </c>
      <c r="AA306" t="s">
        <v>4289</v>
      </c>
      <c r="AB306" t="s">
        <v>4290</v>
      </c>
      <c r="AC306" t="s">
        <v>74</v>
      </c>
      <c r="AD306" t="s">
        <v>74</v>
      </c>
      <c r="AE306" t="s">
        <v>74</v>
      </c>
      <c r="AF306" t="s">
        <v>74</v>
      </c>
      <c r="AG306">
        <v>205</v>
      </c>
      <c r="AH306">
        <v>94</v>
      </c>
      <c r="AI306">
        <v>107</v>
      </c>
      <c r="AJ306">
        <v>2</v>
      </c>
      <c r="AK306">
        <v>37</v>
      </c>
      <c r="AL306" t="s">
        <v>1167</v>
      </c>
      <c r="AM306" t="s">
        <v>1168</v>
      </c>
      <c r="AN306" t="s">
        <v>1169</v>
      </c>
      <c r="AO306" t="s">
        <v>4273</v>
      </c>
      <c r="AP306" t="s">
        <v>4274</v>
      </c>
      <c r="AQ306" t="s">
        <v>74</v>
      </c>
      <c r="AR306" t="s">
        <v>4275</v>
      </c>
      <c r="AS306" t="s">
        <v>4276</v>
      </c>
      <c r="AT306" t="s">
        <v>566</v>
      </c>
      <c r="AU306">
        <v>2003</v>
      </c>
      <c r="AV306">
        <v>2</v>
      </c>
      <c r="AW306">
        <v>1</v>
      </c>
      <c r="AX306" t="s">
        <v>74</v>
      </c>
      <c r="AY306" t="s">
        <v>74</v>
      </c>
      <c r="AZ306" t="s">
        <v>74</v>
      </c>
      <c r="BA306" t="s">
        <v>74</v>
      </c>
      <c r="BB306">
        <v>39</v>
      </c>
      <c r="BC306">
        <v>50</v>
      </c>
      <c r="BD306" t="s">
        <v>74</v>
      </c>
      <c r="BE306" t="s">
        <v>4291</v>
      </c>
      <c r="BF306" t="str">
        <f>HYPERLINK("http://dx.doi.org/10.1039/b211160h","http://dx.doi.org/10.1039/b211160h")</f>
        <v>http://dx.doi.org/10.1039/b211160h</v>
      </c>
      <c r="BG306" t="s">
        <v>74</v>
      </c>
      <c r="BH306" t="s">
        <v>74</v>
      </c>
      <c r="BI306">
        <v>12</v>
      </c>
      <c r="BJ306" t="s">
        <v>4278</v>
      </c>
      <c r="BK306" t="s">
        <v>569</v>
      </c>
      <c r="BL306" t="s">
        <v>4279</v>
      </c>
      <c r="BM306" t="s">
        <v>4280</v>
      </c>
      <c r="BN306">
        <v>12659538</v>
      </c>
      <c r="BO306" t="s">
        <v>572</v>
      </c>
      <c r="BP306" t="s">
        <v>74</v>
      </c>
      <c r="BQ306" t="s">
        <v>74</v>
      </c>
      <c r="BR306" t="s">
        <v>98</v>
      </c>
      <c r="BS306" t="s">
        <v>4292</v>
      </c>
      <c r="BT306" t="str">
        <f>HYPERLINK("https%3A%2F%2Fwww.webofscience.com%2Fwos%2Fwoscc%2Ffull-record%2FWOS:000180797800007","View Full Record in Web of Science")</f>
        <v>View Full Record in Web of Science</v>
      </c>
    </row>
    <row r="307" spans="1:72" x14ac:dyDescent="0.15">
      <c r="A307" t="s">
        <v>552</v>
      </c>
      <c r="B307" t="s">
        <v>4293</v>
      </c>
      <c r="C307" t="s">
        <v>74</v>
      </c>
      <c r="D307" t="s">
        <v>74</v>
      </c>
      <c r="E307" t="s">
        <v>74</v>
      </c>
      <c r="F307" t="s">
        <v>4293</v>
      </c>
      <c r="G307" t="s">
        <v>74</v>
      </c>
      <c r="H307" t="s">
        <v>74</v>
      </c>
      <c r="I307" t="s">
        <v>4294</v>
      </c>
      <c r="J307" t="s">
        <v>4264</v>
      </c>
      <c r="K307" t="s">
        <v>74</v>
      </c>
      <c r="L307" t="s">
        <v>74</v>
      </c>
      <c r="M307" t="s">
        <v>78</v>
      </c>
      <c r="N307" t="s">
        <v>1114</v>
      </c>
      <c r="O307" t="s">
        <v>74</v>
      </c>
      <c r="P307" t="s">
        <v>74</v>
      </c>
      <c r="Q307" t="s">
        <v>74</v>
      </c>
      <c r="R307" t="s">
        <v>74</v>
      </c>
      <c r="S307" t="s">
        <v>74</v>
      </c>
      <c r="T307" t="s">
        <v>74</v>
      </c>
      <c r="U307" t="s">
        <v>4295</v>
      </c>
      <c r="V307" t="s">
        <v>4296</v>
      </c>
      <c r="W307" t="s">
        <v>4297</v>
      </c>
      <c r="X307" t="s">
        <v>4298</v>
      </c>
      <c r="Y307" t="s">
        <v>4299</v>
      </c>
      <c r="Z307" t="s">
        <v>74</v>
      </c>
      <c r="AA307" t="s">
        <v>4300</v>
      </c>
      <c r="AB307" t="s">
        <v>74</v>
      </c>
      <c r="AC307" t="s">
        <v>74</v>
      </c>
      <c r="AD307" t="s">
        <v>74</v>
      </c>
      <c r="AE307" t="s">
        <v>74</v>
      </c>
      <c r="AF307" t="s">
        <v>74</v>
      </c>
      <c r="AG307">
        <v>158</v>
      </c>
      <c r="AH307">
        <v>58</v>
      </c>
      <c r="AI307">
        <v>73</v>
      </c>
      <c r="AJ307">
        <v>2</v>
      </c>
      <c r="AK307">
        <v>90</v>
      </c>
      <c r="AL307" t="s">
        <v>1167</v>
      </c>
      <c r="AM307" t="s">
        <v>1168</v>
      </c>
      <c r="AN307" t="s">
        <v>1169</v>
      </c>
      <c r="AO307" t="s">
        <v>4273</v>
      </c>
      <c r="AP307" t="s">
        <v>4274</v>
      </c>
      <c r="AQ307" t="s">
        <v>74</v>
      </c>
      <c r="AR307" t="s">
        <v>4275</v>
      </c>
      <c r="AS307" t="s">
        <v>4276</v>
      </c>
      <c r="AT307" t="s">
        <v>566</v>
      </c>
      <c r="AU307">
        <v>2003</v>
      </c>
      <c r="AV307">
        <v>2</v>
      </c>
      <c r="AW307">
        <v>1</v>
      </c>
      <c r="AX307" t="s">
        <v>74</v>
      </c>
      <c r="AY307" t="s">
        <v>74</v>
      </c>
      <c r="AZ307" t="s">
        <v>74</v>
      </c>
      <c r="BA307" t="s">
        <v>74</v>
      </c>
      <c r="BB307">
        <v>51</v>
      </c>
      <c r="BC307">
        <v>61</v>
      </c>
      <c r="BD307" t="s">
        <v>74</v>
      </c>
      <c r="BE307" t="s">
        <v>4301</v>
      </c>
      <c r="BF307" t="str">
        <f>HYPERLINK("http://dx.doi.org/10.1039/b211154n","http://dx.doi.org/10.1039/b211154n")</f>
        <v>http://dx.doi.org/10.1039/b211154n</v>
      </c>
      <c r="BG307" t="s">
        <v>74</v>
      </c>
      <c r="BH307" t="s">
        <v>74</v>
      </c>
      <c r="BI307">
        <v>11</v>
      </c>
      <c r="BJ307" t="s">
        <v>4278</v>
      </c>
      <c r="BK307" t="s">
        <v>569</v>
      </c>
      <c r="BL307" t="s">
        <v>4279</v>
      </c>
      <c r="BM307" t="s">
        <v>4280</v>
      </c>
      <c r="BN307">
        <v>12659539</v>
      </c>
      <c r="BO307" t="s">
        <v>74</v>
      </c>
      <c r="BP307" t="s">
        <v>74</v>
      </c>
      <c r="BQ307" t="s">
        <v>74</v>
      </c>
      <c r="BR307" t="s">
        <v>98</v>
      </c>
      <c r="BS307" t="s">
        <v>4302</v>
      </c>
      <c r="BT307" t="str">
        <f>HYPERLINK("https%3A%2F%2Fwww.webofscience.com%2Fwos%2Fwoscc%2Ffull-record%2FWOS:000180797800008","View Full Record in Web of Science")</f>
        <v>View Full Record in Web of Science</v>
      </c>
    </row>
    <row r="308" spans="1:72" x14ac:dyDescent="0.15">
      <c r="A308" t="s">
        <v>552</v>
      </c>
      <c r="B308" t="s">
        <v>4303</v>
      </c>
      <c r="C308" t="s">
        <v>74</v>
      </c>
      <c r="D308" t="s">
        <v>74</v>
      </c>
      <c r="E308" t="s">
        <v>74</v>
      </c>
      <c r="F308" t="s">
        <v>4303</v>
      </c>
      <c r="G308" t="s">
        <v>74</v>
      </c>
      <c r="H308" t="s">
        <v>74</v>
      </c>
      <c r="I308" t="s">
        <v>4304</v>
      </c>
      <c r="J308" t="s">
        <v>4264</v>
      </c>
      <c r="K308" t="s">
        <v>74</v>
      </c>
      <c r="L308" t="s">
        <v>74</v>
      </c>
      <c r="M308" t="s">
        <v>78</v>
      </c>
      <c r="N308" t="s">
        <v>775</v>
      </c>
      <c r="O308" t="s">
        <v>74</v>
      </c>
      <c r="P308" t="s">
        <v>74</v>
      </c>
      <c r="Q308" t="s">
        <v>74</v>
      </c>
      <c r="R308" t="s">
        <v>74</v>
      </c>
      <c r="S308" t="s">
        <v>74</v>
      </c>
      <c r="T308" t="s">
        <v>74</v>
      </c>
      <c r="U308" t="s">
        <v>4305</v>
      </c>
      <c r="V308" t="s">
        <v>4306</v>
      </c>
      <c r="W308" t="s">
        <v>4307</v>
      </c>
      <c r="X308" t="s">
        <v>4308</v>
      </c>
      <c r="Y308" t="s">
        <v>4309</v>
      </c>
      <c r="Z308" t="s">
        <v>74</v>
      </c>
      <c r="AA308" t="s">
        <v>4310</v>
      </c>
      <c r="AB308" t="s">
        <v>4311</v>
      </c>
      <c r="AC308" t="s">
        <v>74</v>
      </c>
      <c r="AD308" t="s">
        <v>74</v>
      </c>
      <c r="AE308" t="s">
        <v>74</v>
      </c>
      <c r="AF308" t="s">
        <v>74</v>
      </c>
      <c r="AG308">
        <v>49</v>
      </c>
      <c r="AH308">
        <v>28</v>
      </c>
      <c r="AI308">
        <v>28</v>
      </c>
      <c r="AJ308">
        <v>0</v>
      </c>
      <c r="AK308">
        <v>6</v>
      </c>
      <c r="AL308" t="s">
        <v>1167</v>
      </c>
      <c r="AM308" t="s">
        <v>1168</v>
      </c>
      <c r="AN308" t="s">
        <v>1169</v>
      </c>
      <c r="AO308" t="s">
        <v>4273</v>
      </c>
      <c r="AP308" t="s">
        <v>74</v>
      </c>
      <c r="AQ308" t="s">
        <v>74</v>
      </c>
      <c r="AR308" t="s">
        <v>4275</v>
      </c>
      <c r="AS308" t="s">
        <v>4276</v>
      </c>
      <c r="AT308" t="s">
        <v>74</v>
      </c>
      <c r="AU308">
        <v>2003</v>
      </c>
      <c r="AV308">
        <v>2</v>
      </c>
      <c r="AW308">
        <v>6</v>
      </c>
      <c r="AX308" t="s">
        <v>74</v>
      </c>
      <c r="AY308" t="s">
        <v>74</v>
      </c>
      <c r="AZ308" t="s">
        <v>74</v>
      </c>
      <c r="BA308" t="s">
        <v>74</v>
      </c>
      <c r="BB308">
        <v>649</v>
      </c>
      <c r="BC308">
        <v>654</v>
      </c>
      <c r="BD308" t="s">
        <v>74</v>
      </c>
      <c r="BE308" t="s">
        <v>4312</v>
      </c>
      <c r="BF308" t="str">
        <f>HYPERLINK("http://dx.doi.org/10.1039/b212652d","http://dx.doi.org/10.1039/b212652d")</f>
        <v>http://dx.doi.org/10.1039/b212652d</v>
      </c>
      <c r="BG308" t="s">
        <v>74</v>
      </c>
      <c r="BH308" t="s">
        <v>74</v>
      </c>
      <c r="BI308">
        <v>6</v>
      </c>
      <c r="BJ308" t="s">
        <v>4278</v>
      </c>
      <c r="BK308" t="s">
        <v>569</v>
      </c>
      <c r="BL308" t="s">
        <v>4279</v>
      </c>
      <c r="BM308" t="s">
        <v>4313</v>
      </c>
      <c r="BN308">
        <v>12859148</v>
      </c>
      <c r="BO308" t="s">
        <v>572</v>
      </c>
      <c r="BP308" t="s">
        <v>74</v>
      </c>
      <c r="BQ308" t="s">
        <v>74</v>
      </c>
      <c r="BR308" t="s">
        <v>98</v>
      </c>
      <c r="BS308" t="s">
        <v>4314</v>
      </c>
      <c r="BT308" t="str">
        <f>HYPERLINK("https%3A%2F%2Fwww.webofscience.com%2Fwos%2Fwoscc%2Ffull-record%2FWOS:000183432200003","View Full Record in Web of Science")</f>
        <v>View Full Record in Web of Science</v>
      </c>
    </row>
    <row r="309" spans="1:72" x14ac:dyDescent="0.15">
      <c r="A309" t="s">
        <v>552</v>
      </c>
      <c r="B309" t="s">
        <v>4315</v>
      </c>
      <c r="C309" t="s">
        <v>74</v>
      </c>
      <c r="D309" t="s">
        <v>74</v>
      </c>
      <c r="E309" t="s">
        <v>74</v>
      </c>
      <c r="F309" t="s">
        <v>4315</v>
      </c>
      <c r="G309" t="s">
        <v>74</v>
      </c>
      <c r="H309" t="s">
        <v>74</v>
      </c>
      <c r="I309" t="s">
        <v>4316</v>
      </c>
      <c r="J309" t="s">
        <v>4317</v>
      </c>
      <c r="K309" t="s">
        <v>74</v>
      </c>
      <c r="L309" t="s">
        <v>74</v>
      </c>
      <c r="M309" t="s">
        <v>78</v>
      </c>
      <c r="N309" t="s">
        <v>775</v>
      </c>
      <c r="O309" t="s">
        <v>74</v>
      </c>
      <c r="P309" t="s">
        <v>74</v>
      </c>
      <c r="Q309" t="s">
        <v>74</v>
      </c>
      <c r="R309" t="s">
        <v>74</v>
      </c>
      <c r="S309" t="s">
        <v>74</v>
      </c>
      <c r="T309" t="s">
        <v>74</v>
      </c>
      <c r="U309" t="s">
        <v>4318</v>
      </c>
      <c r="V309" t="s">
        <v>4319</v>
      </c>
      <c r="W309" t="s">
        <v>4320</v>
      </c>
      <c r="X309" t="s">
        <v>4321</v>
      </c>
      <c r="Y309" t="s">
        <v>74</v>
      </c>
      <c r="Z309" t="s">
        <v>4322</v>
      </c>
      <c r="AA309" t="s">
        <v>4323</v>
      </c>
      <c r="AB309" t="s">
        <v>4324</v>
      </c>
      <c r="AC309" t="s">
        <v>74</v>
      </c>
      <c r="AD309" t="s">
        <v>74</v>
      </c>
      <c r="AE309" t="s">
        <v>74</v>
      </c>
      <c r="AF309" t="s">
        <v>74</v>
      </c>
      <c r="AG309">
        <v>53</v>
      </c>
      <c r="AH309">
        <v>57</v>
      </c>
      <c r="AI309">
        <v>63</v>
      </c>
      <c r="AJ309">
        <v>0</v>
      </c>
      <c r="AK309">
        <v>27</v>
      </c>
      <c r="AL309" t="s">
        <v>1147</v>
      </c>
      <c r="AM309" t="s">
        <v>1148</v>
      </c>
      <c r="AN309" t="s">
        <v>1149</v>
      </c>
      <c r="AO309" t="s">
        <v>4325</v>
      </c>
      <c r="AP309" t="s">
        <v>4326</v>
      </c>
      <c r="AQ309" t="s">
        <v>74</v>
      </c>
      <c r="AR309" t="s">
        <v>4327</v>
      </c>
      <c r="AS309" t="s">
        <v>4328</v>
      </c>
      <c r="AT309" t="s">
        <v>566</v>
      </c>
      <c r="AU309">
        <v>2003</v>
      </c>
      <c r="AV309">
        <v>77</v>
      </c>
      <c r="AW309">
        <v>1</v>
      </c>
      <c r="AX309" t="s">
        <v>74</v>
      </c>
      <c r="AY309" t="s">
        <v>74</v>
      </c>
      <c r="AZ309" t="s">
        <v>74</v>
      </c>
      <c r="BA309" t="s">
        <v>74</v>
      </c>
      <c r="BB309">
        <v>34</v>
      </c>
      <c r="BC309">
        <v>40</v>
      </c>
      <c r="BD309" t="s">
        <v>74</v>
      </c>
      <c r="BE309" t="s">
        <v>4329</v>
      </c>
      <c r="BF309" t="str">
        <f>HYPERLINK("http://dx.doi.org/10.1562/0031-8655(2003)077&lt;0034:SUICOT&gt;2.0.CO;2","http://dx.doi.org/10.1562/0031-8655(2003)077&lt;0034:SUICOT&gt;2.0.CO;2")</f>
        <v>http://dx.doi.org/10.1562/0031-8655(2003)077&lt;0034:SUICOT&gt;2.0.CO;2</v>
      </c>
      <c r="BG309" t="s">
        <v>74</v>
      </c>
      <c r="BH309" t="s">
        <v>74</v>
      </c>
      <c r="BI309">
        <v>7</v>
      </c>
      <c r="BJ309" t="s">
        <v>4330</v>
      </c>
      <c r="BK309" t="s">
        <v>569</v>
      </c>
      <c r="BL309" t="s">
        <v>4330</v>
      </c>
      <c r="BM309" t="s">
        <v>4331</v>
      </c>
      <c r="BN309">
        <v>12856880</v>
      </c>
      <c r="BO309" t="s">
        <v>74</v>
      </c>
      <c r="BP309" t="s">
        <v>74</v>
      </c>
      <c r="BQ309" t="s">
        <v>74</v>
      </c>
      <c r="BR309" t="s">
        <v>98</v>
      </c>
      <c r="BS309" t="s">
        <v>4332</v>
      </c>
      <c r="BT309" t="str">
        <f>HYPERLINK("https%3A%2F%2Fwww.webofscience.com%2Fwos%2Fwoscc%2Ffull-record%2FWOS:000180511800007","View Full Record in Web of Science")</f>
        <v>View Full Record in Web of Science</v>
      </c>
    </row>
    <row r="310" spans="1:72" x14ac:dyDescent="0.15">
      <c r="A310" t="s">
        <v>552</v>
      </c>
      <c r="B310" t="s">
        <v>4333</v>
      </c>
      <c r="C310" t="s">
        <v>74</v>
      </c>
      <c r="D310" t="s">
        <v>74</v>
      </c>
      <c r="E310" t="s">
        <v>74</v>
      </c>
      <c r="F310" t="s">
        <v>4333</v>
      </c>
      <c r="G310" t="s">
        <v>74</v>
      </c>
      <c r="H310" t="s">
        <v>74</v>
      </c>
      <c r="I310" t="s">
        <v>4334</v>
      </c>
      <c r="J310" t="s">
        <v>4335</v>
      </c>
      <c r="K310" t="s">
        <v>74</v>
      </c>
      <c r="L310" t="s">
        <v>74</v>
      </c>
      <c r="M310" t="s">
        <v>78</v>
      </c>
      <c r="N310" t="s">
        <v>775</v>
      </c>
      <c r="O310" t="s">
        <v>74</v>
      </c>
      <c r="P310" t="s">
        <v>74</v>
      </c>
      <c r="Q310" t="s">
        <v>74</v>
      </c>
      <c r="R310" t="s">
        <v>74</v>
      </c>
      <c r="S310" t="s">
        <v>74</v>
      </c>
      <c r="T310" t="s">
        <v>4336</v>
      </c>
      <c r="U310" t="s">
        <v>4337</v>
      </c>
      <c r="V310" t="s">
        <v>4338</v>
      </c>
      <c r="W310" t="s">
        <v>4339</v>
      </c>
      <c r="X310" t="s">
        <v>4340</v>
      </c>
      <c r="Y310" t="s">
        <v>4341</v>
      </c>
      <c r="Z310" t="s">
        <v>4342</v>
      </c>
      <c r="AA310" t="s">
        <v>4343</v>
      </c>
      <c r="AB310" t="s">
        <v>4344</v>
      </c>
      <c r="AC310" t="s">
        <v>74</v>
      </c>
      <c r="AD310" t="s">
        <v>74</v>
      </c>
      <c r="AE310" t="s">
        <v>74</v>
      </c>
      <c r="AF310" t="s">
        <v>74</v>
      </c>
      <c r="AG310">
        <v>39</v>
      </c>
      <c r="AH310">
        <v>24</v>
      </c>
      <c r="AI310">
        <v>24</v>
      </c>
      <c r="AJ310">
        <v>0</v>
      </c>
      <c r="AK310">
        <v>27</v>
      </c>
      <c r="AL310" t="s">
        <v>4345</v>
      </c>
      <c r="AM310" t="s">
        <v>4346</v>
      </c>
      <c r="AN310" t="s">
        <v>4347</v>
      </c>
      <c r="AO310" t="s">
        <v>4348</v>
      </c>
      <c r="AP310" t="s">
        <v>4349</v>
      </c>
      <c r="AQ310" t="s">
        <v>74</v>
      </c>
      <c r="AR310" t="s">
        <v>4335</v>
      </c>
      <c r="AS310" t="s">
        <v>4350</v>
      </c>
      <c r="AT310" t="s">
        <v>74</v>
      </c>
      <c r="AU310">
        <v>2003</v>
      </c>
      <c r="AV310">
        <v>41</v>
      </c>
      <c r="AW310">
        <v>4</v>
      </c>
      <c r="AX310" t="s">
        <v>74</v>
      </c>
      <c r="AY310" t="s">
        <v>74</v>
      </c>
      <c r="AZ310" t="s">
        <v>74</v>
      </c>
      <c r="BA310" t="s">
        <v>74</v>
      </c>
      <c r="BB310">
        <v>497</v>
      </c>
      <c r="BC310">
        <v>504</v>
      </c>
      <c r="BD310" t="s">
        <v>74</v>
      </c>
      <c r="BE310" t="s">
        <v>4351</v>
      </c>
      <c r="BF310" t="str">
        <f>HYPERLINK("http://dx.doi.org/10.1023/B:PHOT.0000027513.90599.ad","http://dx.doi.org/10.1023/B:PHOT.0000027513.90599.ad")</f>
        <v>http://dx.doi.org/10.1023/B:PHOT.0000027513.90599.ad</v>
      </c>
      <c r="BG310" t="s">
        <v>74</v>
      </c>
      <c r="BH310" t="s">
        <v>74</v>
      </c>
      <c r="BI310">
        <v>8</v>
      </c>
      <c r="BJ310" t="s">
        <v>2326</v>
      </c>
      <c r="BK310" t="s">
        <v>569</v>
      </c>
      <c r="BL310" t="s">
        <v>2326</v>
      </c>
      <c r="BM310" t="s">
        <v>4352</v>
      </c>
      <c r="BN310" t="s">
        <v>74</v>
      </c>
      <c r="BO310" t="s">
        <v>572</v>
      </c>
      <c r="BP310" t="s">
        <v>74</v>
      </c>
      <c r="BQ310" t="s">
        <v>74</v>
      </c>
      <c r="BR310" t="s">
        <v>98</v>
      </c>
      <c r="BS310" t="s">
        <v>4353</v>
      </c>
      <c r="BT310" t="str">
        <f>HYPERLINK("https%3A%2F%2Fwww.webofscience.com%2Fwos%2Fwoscc%2Ffull-record%2FWOS:000221306100003","View Full Record in Web of Science")</f>
        <v>View Full Record in Web of Science</v>
      </c>
    </row>
    <row r="311" spans="1:72" x14ac:dyDescent="0.15">
      <c r="A311" t="s">
        <v>552</v>
      </c>
      <c r="B311" t="s">
        <v>4354</v>
      </c>
      <c r="C311" t="s">
        <v>74</v>
      </c>
      <c r="D311" t="s">
        <v>74</v>
      </c>
      <c r="E311" t="s">
        <v>74</v>
      </c>
      <c r="F311" t="s">
        <v>4354</v>
      </c>
      <c r="G311" t="s">
        <v>74</v>
      </c>
      <c r="H311" t="s">
        <v>74</v>
      </c>
      <c r="I311" t="s">
        <v>4355</v>
      </c>
      <c r="J311" t="s">
        <v>4356</v>
      </c>
      <c r="K311" t="s">
        <v>74</v>
      </c>
      <c r="L311" t="s">
        <v>74</v>
      </c>
      <c r="M311" t="s">
        <v>78</v>
      </c>
      <c r="N311" t="s">
        <v>775</v>
      </c>
      <c r="O311" t="s">
        <v>74</v>
      </c>
      <c r="P311" t="s">
        <v>74</v>
      </c>
      <c r="Q311" t="s">
        <v>74</v>
      </c>
      <c r="R311" t="s">
        <v>74</v>
      </c>
      <c r="S311" t="s">
        <v>74</v>
      </c>
      <c r="T311" t="s">
        <v>74</v>
      </c>
      <c r="U311" t="s">
        <v>4357</v>
      </c>
      <c r="V311" t="s">
        <v>4358</v>
      </c>
      <c r="W311" t="s">
        <v>4359</v>
      </c>
      <c r="X311" t="s">
        <v>239</v>
      </c>
      <c r="Y311" t="s">
        <v>4360</v>
      </c>
      <c r="Z311" t="s">
        <v>4361</v>
      </c>
      <c r="AA311" t="s">
        <v>4362</v>
      </c>
      <c r="AB311" t="s">
        <v>4363</v>
      </c>
      <c r="AC311" t="s">
        <v>74</v>
      </c>
      <c r="AD311" t="s">
        <v>74</v>
      </c>
      <c r="AE311" t="s">
        <v>74</v>
      </c>
      <c r="AF311" t="s">
        <v>74</v>
      </c>
      <c r="AG311">
        <v>25</v>
      </c>
      <c r="AH311">
        <v>22</v>
      </c>
      <c r="AI311">
        <v>24</v>
      </c>
      <c r="AJ311">
        <v>0</v>
      </c>
      <c r="AK311">
        <v>8</v>
      </c>
      <c r="AL311" t="s">
        <v>4364</v>
      </c>
      <c r="AM311" t="s">
        <v>4365</v>
      </c>
      <c r="AN311" t="s">
        <v>4366</v>
      </c>
      <c r="AO311" t="s">
        <v>4367</v>
      </c>
      <c r="AP311" t="s">
        <v>4368</v>
      </c>
      <c r="AQ311" t="s">
        <v>74</v>
      </c>
      <c r="AR311" t="s">
        <v>4369</v>
      </c>
      <c r="AS311" t="s">
        <v>4370</v>
      </c>
      <c r="AT311" t="s">
        <v>566</v>
      </c>
      <c r="AU311">
        <v>2003</v>
      </c>
      <c r="AV311">
        <v>67</v>
      </c>
      <c r="AW311">
        <v>1</v>
      </c>
      <c r="AX311">
        <v>2</v>
      </c>
      <c r="AY311" t="s">
        <v>74</v>
      </c>
      <c r="AZ311" t="s">
        <v>74</v>
      </c>
      <c r="BA311" t="s">
        <v>74</v>
      </c>
      <c r="BB311" t="s">
        <v>74</v>
      </c>
      <c r="BC311" t="s">
        <v>74</v>
      </c>
      <c r="BD311">
        <v>16203</v>
      </c>
      <c r="BE311" t="s">
        <v>4371</v>
      </c>
      <c r="BF311" t="str">
        <f>HYPERLINK("http://dx.doi.org/10.1103/PhysRevE.67.016203","http://dx.doi.org/10.1103/PhysRevE.67.016203")</f>
        <v>http://dx.doi.org/10.1103/PhysRevE.67.016203</v>
      </c>
      <c r="BG311" t="s">
        <v>74</v>
      </c>
      <c r="BH311" t="s">
        <v>74</v>
      </c>
      <c r="BI311">
        <v>15</v>
      </c>
      <c r="BJ311" t="s">
        <v>4372</v>
      </c>
      <c r="BK311" t="s">
        <v>569</v>
      </c>
      <c r="BL311" t="s">
        <v>1376</v>
      </c>
      <c r="BM311" t="s">
        <v>4373</v>
      </c>
      <c r="BN311">
        <v>12636581</v>
      </c>
      <c r="BO311" t="s">
        <v>590</v>
      </c>
      <c r="BP311" t="s">
        <v>74</v>
      </c>
      <c r="BQ311" t="s">
        <v>74</v>
      </c>
      <c r="BR311" t="s">
        <v>98</v>
      </c>
      <c r="BS311" t="s">
        <v>4374</v>
      </c>
      <c r="BT311" t="str">
        <f>HYPERLINK("https%3A%2F%2Fwww.webofscience.com%2Fwos%2Fwoscc%2Ffull-record%2FWOS:000181018000038","View Full Record in Web of Science")</f>
        <v>View Full Record in Web of Science</v>
      </c>
    </row>
    <row r="312" spans="1:72" x14ac:dyDescent="0.15">
      <c r="A312" t="s">
        <v>552</v>
      </c>
      <c r="B312" t="s">
        <v>4375</v>
      </c>
      <c r="C312" t="s">
        <v>74</v>
      </c>
      <c r="D312" t="s">
        <v>74</v>
      </c>
      <c r="E312" t="s">
        <v>74</v>
      </c>
      <c r="F312" t="s">
        <v>4375</v>
      </c>
      <c r="G312" t="s">
        <v>74</v>
      </c>
      <c r="H312" t="s">
        <v>74</v>
      </c>
      <c r="I312" t="s">
        <v>4376</v>
      </c>
      <c r="J312" t="s">
        <v>4377</v>
      </c>
      <c r="K312" t="s">
        <v>74</v>
      </c>
      <c r="L312" t="s">
        <v>74</v>
      </c>
      <c r="M312" t="s">
        <v>78</v>
      </c>
      <c r="N312" t="s">
        <v>576</v>
      </c>
      <c r="O312" t="s">
        <v>4378</v>
      </c>
      <c r="P312" t="s">
        <v>4379</v>
      </c>
      <c r="Q312" t="s">
        <v>4380</v>
      </c>
      <c r="R312" t="s">
        <v>74</v>
      </c>
      <c r="S312" t="s">
        <v>74</v>
      </c>
      <c r="T312" t="s">
        <v>4381</v>
      </c>
      <c r="U312" t="s">
        <v>74</v>
      </c>
      <c r="V312" t="s">
        <v>4382</v>
      </c>
      <c r="W312" t="s">
        <v>4383</v>
      </c>
      <c r="X312" t="s">
        <v>4384</v>
      </c>
      <c r="Y312" t="s">
        <v>4385</v>
      </c>
      <c r="Z312" t="s">
        <v>4386</v>
      </c>
      <c r="AA312" t="s">
        <v>74</v>
      </c>
      <c r="AB312" t="s">
        <v>74</v>
      </c>
      <c r="AC312" t="s">
        <v>74</v>
      </c>
      <c r="AD312" t="s">
        <v>74</v>
      </c>
      <c r="AE312" t="s">
        <v>74</v>
      </c>
      <c r="AF312" t="s">
        <v>74</v>
      </c>
      <c r="AG312">
        <v>13</v>
      </c>
      <c r="AH312">
        <v>30</v>
      </c>
      <c r="AI312">
        <v>33</v>
      </c>
      <c r="AJ312">
        <v>2</v>
      </c>
      <c r="AK312">
        <v>7</v>
      </c>
      <c r="AL312" t="s">
        <v>806</v>
      </c>
      <c r="AM312" t="s">
        <v>807</v>
      </c>
      <c r="AN312" t="s">
        <v>808</v>
      </c>
      <c r="AO312" t="s">
        <v>4387</v>
      </c>
      <c r="AP312" t="s">
        <v>4388</v>
      </c>
      <c r="AQ312" t="s">
        <v>74</v>
      </c>
      <c r="AR312" t="s">
        <v>4389</v>
      </c>
      <c r="AS312" t="s">
        <v>4390</v>
      </c>
      <c r="AT312" t="s">
        <v>74</v>
      </c>
      <c r="AU312">
        <v>2003</v>
      </c>
      <c r="AV312">
        <v>28</v>
      </c>
      <c r="AW312" t="s">
        <v>4391</v>
      </c>
      <c r="AX312" t="s">
        <v>74</v>
      </c>
      <c r="AY312" t="s">
        <v>74</v>
      </c>
      <c r="AZ312" t="s">
        <v>74</v>
      </c>
      <c r="BA312" t="s">
        <v>74</v>
      </c>
      <c r="BB312">
        <v>1205</v>
      </c>
      <c r="BC312">
        <v>1212</v>
      </c>
      <c r="BD312" t="s">
        <v>74</v>
      </c>
      <c r="BE312" t="s">
        <v>4392</v>
      </c>
      <c r="BF312" t="str">
        <f>HYPERLINK("http://dx.doi.org/10.1016/j.pce.2003.08.057","http://dx.doi.org/10.1016/j.pce.2003.08.057")</f>
        <v>http://dx.doi.org/10.1016/j.pce.2003.08.057</v>
      </c>
      <c r="BG312" t="s">
        <v>74</v>
      </c>
      <c r="BH312" t="s">
        <v>74</v>
      </c>
      <c r="BI312">
        <v>8</v>
      </c>
      <c r="BJ312" t="s">
        <v>4393</v>
      </c>
      <c r="BK312" t="s">
        <v>605</v>
      </c>
      <c r="BL312" t="s">
        <v>4394</v>
      </c>
      <c r="BM312" t="s">
        <v>4395</v>
      </c>
      <c r="BN312" t="s">
        <v>74</v>
      </c>
      <c r="BO312" t="s">
        <v>74</v>
      </c>
      <c r="BP312" t="s">
        <v>74</v>
      </c>
      <c r="BQ312" t="s">
        <v>74</v>
      </c>
      <c r="BR312" t="s">
        <v>98</v>
      </c>
      <c r="BS312" t="s">
        <v>4396</v>
      </c>
      <c r="BT312" t="str">
        <f>HYPERLINK("https%3A%2F%2Fwww.webofscience.com%2Fwos%2Fwoscc%2Ffull-record%2FWOS:000186764900005","View Full Record in Web of Science")</f>
        <v>View Full Record in Web of Science</v>
      </c>
    </row>
    <row r="313" spans="1:72" x14ac:dyDescent="0.15">
      <c r="A313" t="s">
        <v>552</v>
      </c>
      <c r="B313" t="s">
        <v>4397</v>
      </c>
      <c r="C313" t="s">
        <v>74</v>
      </c>
      <c r="D313" t="s">
        <v>74</v>
      </c>
      <c r="E313" t="s">
        <v>74</v>
      </c>
      <c r="F313" t="s">
        <v>4397</v>
      </c>
      <c r="G313" t="s">
        <v>74</v>
      </c>
      <c r="H313" t="s">
        <v>74</v>
      </c>
      <c r="I313" t="s">
        <v>4398</v>
      </c>
      <c r="J313" t="s">
        <v>4377</v>
      </c>
      <c r="K313" t="s">
        <v>74</v>
      </c>
      <c r="L313" t="s">
        <v>74</v>
      </c>
      <c r="M313" t="s">
        <v>78</v>
      </c>
      <c r="N313" t="s">
        <v>576</v>
      </c>
      <c r="O313" t="s">
        <v>4378</v>
      </c>
      <c r="P313" t="s">
        <v>4379</v>
      </c>
      <c r="Q313" t="s">
        <v>4380</v>
      </c>
      <c r="R313" t="s">
        <v>74</v>
      </c>
      <c r="S313" t="s">
        <v>74</v>
      </c>
      <c r="T313" t="s">
        <v>4399</v>
      </c>
      <c r="U313" t="s">
        <v>4400</v>
      </c>
      <c r="V313" t="s">
        <v>4401</v>
      </c>
      <c r="W313" t="s">
        <v>4402</v>
      </c>
      <c r="X313" t="s">
        <v>4403</v>
      </c>
      <c r="Y313" t="s">
        <v>4404</v>
      </c>
      <c r="Z313" t="s">
        <v>4405</v>
      </c>
      <c r="AA313" t="s">
        <v>4406</v>
      </c>
      <c r="AB313" t="s">
        <v>4407</v>
      </c>
      <c r="AC313" t="s">
        <v>74</v>
      </c>
      <c r="AD313" t="s">
        <v>74</v>
      </c>
      <c r="AE313" t="s">
        <v>74</v>
      </c>
      <c r="AF313" t="s">
        <v>74</v>
      </c>
      <c r="AG313">
        <v>19</v>
      </c>
      <c r="AH313">
        <v>38</v>
      </c>
      <c r="AI313">
        <v>48</v>
      </c>
      <c r="AJ313">
        <v>0</v>
      </c>
      <c r="AK313">
        <v>9</v>
      </c>
      <c r="AL313" t="s">
        <v>806</v>
      </c>
      <c r="AM313" t="s">
        <v>807</v>
      </c>
      <c r="AN313" t="s">
        <v>808</v>
      </c>
      <c r="AO313" t="s">
        <v>4387</v>
      </c>
      <c r="AP313" t="s">
        <v>4388</v>
      </c>
      <c r="AQ313" t="s">
        <v>74</v>
      </c>
      <c r="AR313" t="s">
        <v>4389</v>
      </c>
      <c r="AS313" t="s">
        <v>4390</v>
      </c>
      <c r="AT313" t="s">
        <v>74</v>
      </c>
      <c r="AU313">
        <v>2003</v>
      </c>
      <c r="AV313">
        <v>28</v>
      </c>
      <c r="AW313" t="s">
        <v>4391</v>
      </c>
      <c r="AX313" t="s">
        <v>74</v>
      </c>
      <c r="AY313" t="s">
        <v>74</v>
      </c>
      <c r="AZ313" t="s">
        <v>74</v>
      </c>
      <c r="BA313" t="s">
        <v>74</v>
      </c>
      <c r="BB313">
        <v>1241</v>
      </c>
      <c r="BC313">
        <v>1248</v>
      </c>
      <c r="BD313" t="s">
        <v>74</v>
      </c>
      <c r="BE313" t="s">
        <v>4408</v>
      </c>
      <c r="BF313" t="str">
        <f>HYPERLINK("http://dx.doi.org/10.1016/j.pce.2003.08.048","http://dx.doi.org/10.1016/j.pce.2003.08.048")</f>
        <v>http://dx.doi.org/10.1016/j.pce.2003.08.048</v>
      </c>
      <c r="BG313" t="s">
        <v>74</v>
      </c>
      <c r="BH313" t="s">
        <v>74</v>
      </c>
      <c r="BI313">
        <v>8</v>
      </c>
      <c r="BJ313" t="s">
        <v>4393</v>
      </c>
      <c r="BK313" t="s">
        <v>605</v>
      </c>
      <c r="BL313" t="s">
        <v>4394</v>
      </c>
      <c r="BM313" t="s">
        <v>4395</v>
      </c>
      <c r="BN313" t="s">
        <v>74</v>
      </c>
      <c r="BO313" t="s">
        <v>4409</v>
      </c>
      <c r="BP313" t="s">
        <v>74</v>
      </c>
      <c r="BQ313" t="s">
        <v>74</v>
      </c>
      <c r="BR313" t="s">
        <v>98</v>
      </c>
      <c r="BS313" t="s">
        <v>4410</v>
      </c>
      <c r="BT313" t="str">
        <f>HYPERLINK("https%3A%2F%2Fwww.webofscience.com%2Fwos%2Fwoscc%2Ffull-record%2FWOS:000186764900009","View Full Record in Web of Science")</f>
        <v>View Full Record in Web of Science</v>
      </c>
    </row>
    <row r="314" spans="1:72" x14ac:dyDescent="0.15">
      <c r="A314" t="s">
        <v>552</v>
      </c>
      <c r="B314" t="s">
        <v>4411</v>
      </c>
      <c r="C314" t="s">
        <v>74</v>
      </c>
      <c r="D314" t="s">
        <v>74</v>
      </c>
      <c r="E314" t="s">
        <v>74</v>
      </c>
      <c r="F314" t="s">
        <v>4411</v>
      </c>
      <c r="G314" t="s">
        <v>74</v>
      </c>
      <c r="H314" t="s">
        <v>74</v>
      </c>
      <c r="I314" t="s">
        <v>4412</v>
      </c>
      <c r="J314" t="s">
        <v>4413</v>
      </c>
      <c r="K314" t="s">
        <v>74</v>
      </c>
      <c r="L314" t="s">
        <v>74</v>
      </c>
      <c r="M314" t="s">
        <v>78</v>
      </c>
      <c r="N314" t="s">
        <v>775</v>
      </c>
      <c r="O314" t="s">
        <v>74</v>
      </c>
      <c r="P314" t="s">
        <v>74</v>
      </c>
      <c r="Q314" t="s">
        <v>74</v>
      </c>
      <c r="R314" t="s">
        <v>74</v>
      </c>
      <c r="S314" t="s">
        <v>74</v>
      </c>
      <c r="T314" t="s">
        <v>74</v>
      </c>
      <c r="U314" t="s">
        <v>4414</v>
      </c>
      <c r="V314" t="s">
        <v>4415</v>
      </c>
      <c r="W314" t="s">
        <v>4416</v>
      </c>
      <c r="X314" t="s">
        <v>584</v>
      </c>
      <c r="Y314" t="s">
        <v>4417</v>
      </c>
      <c r="Z314" t="s">
        <v>74</v>
      </c>
      <c r="AA314" t="s">
        <v>1307</v>
      </c>
      <c r="AB314" t="s">
        <v>4418</v>
      </c>
      <c r="AC314" t="s">
        <v>74</v>
      </c>
      <c r="AD314" t="s">
        <v>74</v>
      </c>
      <c r="AE314" t="s">
        <v>74</v>
      </c>
      <c r="AF314" t="s">
        <v>74</v>
      </c>
      <c r="AG314">
        <v>66</v>
      </c>
      <c r="AH314">
        <v>24</v>
      </c>
      <c r="AI314">
        <v>25</v>
      </c>
      <c r="AJ314">
        <v>0</v>
      </c>
      <c r="AK314">
        <v>1</v>
      </c>
      <c r="AL314" t="s">
        <v>4419</v>
      </c>
      <c r="AM314" t="s">
        <v>4420</v>
      </c>
      <c r="AN314" t="s">
        <v>4421</v>
      </c>
      <c r="AO314" t="s">
        <v>4422</v>
      </c>
      <c r="AP314" t="s">
        <v>74</v>
      </c>
      <c r="AQ314" t="s">
        <v>74</v>
      </c>
      <c r="AR314" t="s">
        <v>4423</v>
      </c>
      <c r="AS314" t="s">
        <v>4424</v>
      </c>
      <c r="AT314" t="s">
        <v>790</v>
      </c>
      <c r="AU314">
        <v>2003</v>
      </c>
      <c r="AV314">
        <v>76</v>
      </c>
      <c r="AW314">
        <v>1</v>
      </c>
      <c r="AX314" t="s">
        <v>74</v>
      </c>
      <c r="AY314" t="s">
        <v>74</v>
      </c>
      <c r="AZ314" t="s">
        <v>74</v>
      </c>
      <c r="BA314" t="s">
        <v>74</v>
      </c>
      <c r="BB314">
        <v>28</v>
      </c>
      <c r="BC314">
        <v>40</v>
      </c>
      <c r="BD314" t="s">
        <v>74</v>
      </c>
      <c r="BE314" t="s">
        <v>4425</v>
      </c>
      <c r="BF314" t="str">
        <f>HYPERLINK("http://dx.doi.org/10.1086/367945","http://dx.doi.org/10.1086/367945")</f>
        <v>http://dx.doi.org/10.1086/367945</v>
      </c>
      <c r="BG314" t="s">
        <v>74</v>
      </c>
      <c r="BH314" t="s">
        <v>74</v>
      </c>
      <c r="BI314">
        <v>13</v>
      </c>
      <c r="BJ314" t="s">
        <v>4426</v>
      </c>
      <c r="BK314" t="s">
        <v>569</v>
      </c>
      <c r="BL314" t="s">
        <v>4426</v>
      </c>
      <c r="BM314" t="s">
        <v>4427</v>
      </c>
      <c r="BN314">
        <v>12695984</v>
      </c>
      <c r="BO314" t="s">
        <v>590</v>
      </c>
      <c r="BP314" t="s">
        <v>74</v>
      </c>
      <c r="BQ314" t="s">
        <v>74</v>
      </c>
      <c r="BR314" t="s">
        <v>98</v>
      </c>
      <c r="BS314" t="s">
        <v>4428</v>
      </c>
      <c r="BT314" t="str">
        <f>HYPERLINK("https%3A%2F%2Fwww.webofscience.com%2Fwos%2Fwoscc%2Ffull-record%2FWOS:000182404800003","View Full Record in Web of Science")</f>
        <v>View Full Record in Web of Science</v>
      </c>
    </row>
    <row r="315" spans="1:72" x14ac:dyDescent="0.15">
      <c r="A315" t="s">
        <v>552</v>
      </c>
      <c r="B315" t="s">
        <v>4429</v>
      </c>
      <c r="C315" t="s">
        <v>74</v>
      </c>
      <c r="D315" t="s">
        <v>74</v>
      </c>
      <c r="E315" t="s">
        <v>74</v>
      </c>
      <c r="F315" t="s">
        <v>4429</v>
      </c>
      <c r="G315" t="s">
        <v>74</v>
      </c>
      <c r="H315" t="s">
        <v>74</v>
      </c>
      <c r="I315" t="s">
        <v>4430</v>
      </c>
      <c r="J315" t="s">
        <v>4431</v>
      </c>
      <c r="K315" t="s">
        <v>74</v>
      </c>
      <c r="L315" t="s">
        <v>74</v>
      </c>
      <c r="M315" t="s">
        <v>78</v>
      </c>
      <c r="N315" t="s">
        <v>775</v>
      </c>
      <c r="O315" t="s">
        <v>74</v>
      </c>
      <c r="P315" t="s">
        <v>74</v>
      </c>
      <c r="Q315" t="s">
        <v>74</v>
      </c>
      <c r="R315" t="s">
        <v>74</v>
      </c>
      <c r="S315" t="s">
        <v>74</v>
      </c>
      <c r="T315" t="s">
        <v>74</v>
      </c>
      <c r="U315" t="s">
        <v>4432</v>
      </c>
      <c r="V315" t="s">
        <v>4433</v>
      </c>
      <c r="W315" t="s">
        <v>301</v>
      </c>
      <c r="X315" t="s">
        <v>302</v>
      </c>
      <c r="Y315" t="s">
        <v>4434</v>
      </c>
      <c r="Z315" t="s">
        <v>74</v>
      </c>
      <c r="AA315" t="s">
        <v>74</v>
      </c>
      <c r="AB315" t="s">
        <v>74</v>
      </c>
      <c r="AC315" t="s">
        <v>74</v>
      </c>
      <c r="AD315" t="s">
        <v>74</v>
      </c>
      <c r="AE315" t="s">
        <v>74</v>
      </c>
      <c r="AF315" t="s">
        <v>74</v>
      </c>
      <c r="AG315">
        <v>30</v>
      </c>
      <c r="AH315">
        <v>32</v>
      </c>
      <c r="AI315">
        <v>34</v>
      </c>
      <c r="AJ315">
        <v>0</v>
      </c>
      <c r="AK315">
        <v>10</v>
      </c>
      <c r="AL315" t="s">
        <v>1259</v>
      </c>
      <c r="AM315" t="s">
        <v>561</v>
      </c>
      <c r="AN315" t="s">
        <v>1260</v>
      </c>
      <c r="AO315" t="s">
        <v>4435</v>
      </c>
      <c r="AP315" t="s">
        <v>74</v>
      </c>
      <c r="AQ315" t="s">
        <v>74</v>
      </c>
      <c r="AR315" t="s">
        <v>4436</v>
      </c>
      <c r="AS315" t="s">
        <v>4437</v>
      </c>
      <c r="AT315" t="s">
        <v>566</v>
      </c>
      <c r="AU315">
        <v>2003</v>
      </c>
      <c r="AV315">
        <v>26</v>
      </c>
      <c r="AW315">
        <v>1</v>
      </c>
      <c r="AX315" t="s">
        <v>74</v>
      </c>
      <c r="AY315" t="s">
        <v>74</v>
      </c>
      <c r="AZ315" t="s">
        <v>74</v>
      </c>
      <c r="BA315" t="s">
        <v>74</v>
      </c>
      <c r="BB315">
        <v>27</v>
      </c>
      <c r="BC315">
        <v>31</v>
      </c>
      <c r="BD315" t="s">
        <v>74</v>
      </c>
      <c r="BE315" t="s">
        <v>4438</v>
      </c>
      <c r="BF315" t="str">
        <f>HYPERLINK("http://dx.doi.org/10.1007/s00300-002-0447-y","http://dx.doi.org/10.1007/s00300-002-0447-y")</f>
        <v>http://dx.doi.org/10.1007/s00300-002-0447-y</v>
      </c>
      <c r="BG315" t="s">
        <v>74</v>
      </c>
      <c r="BH315" t="s">
        <v>74</v>
      </c>
      <c r="BI315">
        <v>5</v>
      </c>
      <c r="BJ315" t="s">
        <v>4439</v>
      </c>
      <c r="BK315" t="s">
        <v>569</v>
      </c>
      <c r="BL315" t="s">
        <v>4440</v>
      </c>
      <c r="BM315" t="s">
        <v>4441</v>
      </c>
      <c r="BN315" t="s">
        <v>74</v>
      </c>
      <c r="BO315" t="s">
        <v>74</v>
      </c>
      <c r="BP315" t="s">
        <v>74</v>
      </c>
      <c r="BQ315" t="s">
        <v>74</v>
      </c>
      <c r="BR315" t="s">
        <v>98</v>
      </c>
      <c r="BS315" t="s">
        <v>4442</v>
      </c>
      <c r="BT315" t="str">
        <f>HYPERLINK("https%3A%2F%2Fwww.webofscience.com%2Fwos%2Fwoscc%2Ffull-record%2FWOS:000180536100005","View Full Record in Web of Science")</f>
        <v>View Full Record in Web of Science</v>
      </c>
    </row>
    <row r="316" spans="1:72" x14ac:dyDescent="0.15">
      <c r="A316" t="s">
        <v>552</v>
      </c>
      <c r="B316" t="s">
        <v>4443</v>
      </c>
      <c r="C316" t="s">
        <v>74</v>
      </c>
      <c r="D316" t="s">
        <v>74</v>
      </c>
      <c r="E316" t="s">
        <v>74</v>
      </c>
      <c r="F316" t="s">
        <v>4443</v>
      </c>
      <c r="G316" t="s">
        <v>74</v>
      </c>
      <c r="H316" t="s">
        <v>74</v>
      </c>
      <c r="I316" t="s">
        <v>4444</v>
      </c>
      <c r="J316" t="s">
        <v>4431</v>
      </c>
      <c r="K316" t="s">
        <v>74</v>
      </c>
      <c r="L316" t="s">
        <v>74</v>
      </c>
      <c r="M316" t="s">
        <v>78</v>
      </c>
      <c r="N316" t="s">
        <v>775</v>
      </c>
      <c r="O316" t="s">
        <v>74</v>
      </c>
      <c r="P316" t="s">
        <v>74</v>
      </c>
      <c r="Q316" t="s">
        <v>74</v>
      </c>
      <c r="R316" t="s">
        <v>74</v>
      </c>
      <c r="S316" t="s">
        <v>74</v>
      </c>
      <c r="T316" t="s">
        <v>74</v>
      </c>
      <c r="U316" t="s">
        <v>4445</v>
      </c>
      <c r="V316" t="s">
        <v>4446</v>
      </c>
      <c r="W316" t="s">
        <v>4447</v>
      </c>
      <c r="X316" t="s">
        <v>74</v>
      </c>
      <c r="Y316" t="s">
        <v>74</v>
      </c>
      <c r="Z316" t="s">
        <v>4448</v>
      </c>
      <c r="AA316" t="s">
        <v>74</v>
      </c>
      <c r="AB316" t="s">
        <v>4449</v>
      </c>
      <c r="AC316" t="s">
        <v>74</v>
      </c>
      <c r="AD316" t="s">
        <v>74</v>
      </c>
      <c r="AE316" t="s">
        <v>74</v>
      </c>
      <c r="AF316" t="s">
        <v>74</v>
      </c>
      <c r="AG316">
        <v>38</v>
      </c>
      <c r="AH316">
        <v>43</v>
      </c>
      <c r="AI316">
        <v>49</v>
      </c>
      <c r="AJ316">
        <v>1</v>
      </c>
      <c r="AK316">
        <v>19</v>
      </c>
      <c r="AL316" t="s">
        <v>1230</v>
      </c>
      <c r="AM316" t="s">
        <v>561</v>
      </c>
      <c r="AN316" t="s">
        <v>1231</v>
      </c>
      <c r="AO316" t="s">
        <v>4435</v>
      </c>
      <c r="AP316" t="s">
        <v>4450</v>
      </c>
      <c r="AQ316" t="s">
        <v>74</v>
      </c>
      <c r="AR316" t="s">
        <v>4436</v>
      </c>
      <c r="AS316" t="s">
        <v>4437</v>
      </c>
      <c r="AT316" t="s">
        <v>566</v>
      </c>
      <c r="AU316">
        <v>2003</v>
      </c>
      <c r="AV316">
        <v>26</v>
      </c>
      <c r="AW316">
        <v>1</v>
      </c>
      <c r="AX316" t="s">
        <v>74</v>
      </c>
      <c r="AY316" t="s">
        <v>74</v>
      </c>
      <c r="AZ316" t="s">
        <v>74</v>
      </c>
      <c r="BA316" t="s">
        <v>74</v>
      </c>
      <c r="BB316">
        <v>32</v>
      </c>
      <c r="BC316">
        <v>40</v>
      </c>
      <c r="BD316" t="s">
        <v>74</v>
      </c>
      <c r="BE316" t="s">
        <v>4451</v>
      </c>
      <c r="BF316" t="str">
        <f>HYPERLINK("http://dx.doi.org/10.1007/s00300-002-0443-2","http://dx.doi.org/10.1007/s00300-002-0443-2")</f>
        <v>http://dx.doi.org/10.1007/s00300-002-0443-2</v>
      </c>
      <c r="BG316" t="s">
        <v>74</v>
      </c>
      <c r="BH316" t="s">
        <v>74</v>
      </c>
      <c r="BI316">
        <v>9</v>
      </c>
      <c r="BJ316" t="s">
        <v>4439</v>
      </c>
      <c r="BK316" t="s">
        <v>569</v>
      </c>
      <c r="BL316" t="s">
        <v>4440</v>
      </c>
      <c r="BM316" t="s">
        <v>4441</v>
      </c>
      <c r="BN316" t="s">
        <v>74</v>
      </c>
      <c r="BO316" t="s">
        <v>74</v>
      </c>
      <c r="BP316" t="s">
        <v>74</v>
      </c>
      <c r="BQ316" t="s">
        <v>74</v>
      </c>
      <c r="BR316" t="s">
        <v>98</v>
      </c>
      <c r="BS316" t="s">
        <v>4452</v>
      </c>
      <c r="BT316" t="str">
        <f>HYPERLINK("https%3A%2F%2Fwww.webofscience.com%2Fwos%2Fwoscc%2Ffull-record%2FWOS:000180536100006","View Full Record in Web of Science")</f>
        <v>View Full Record in Web of Science</v>
      </c>
    </row>
    <row r="317" spans="1:72" x14ac:dyDescent="0.15">
      <c r="A317" t="s">
        <v>552</v>
      </c>
      <c r="B317" t="s">
        <v>4453</v>
      </c>
      <c r="C317" t="s">
        <v>74</v>
      </c>
      <c r="D317" t="s">
        <v>74</v>
      </c>
      <c r="E317" t="s">
        <v>74</v>
      </c>
      <c r="F317" t="s">
        <v>4453</v>
      </c>
      <c r="G317" t="s">
        <v>74</v>
      </c>
      <c r="H317" t="s">
        <v>74</v>
      </c>
      <c r="I317" t="s">
        <v>4454</v>
      </c>
      <c r="J317" t="s">
        <v>4431</v>
      </c>
      <c r="K317" t="s">
        <v>74</v>
      </c>
      <c r="L317" t="s">
        <v>74</v>
      </c>
      <c r="M317" t="s">
        <v>78</v>
      </c>
      <c r="N317" t="s">
        <v>775</v>
      </c>
      <c r="O317" t="s">
        <v>74</v>
      </c>
      <c r="P317" t="s">
        <v>74</v>
      </c>
      <c r="Q317" t="s">
        <v>74</v>
      </c>
      <c r="R317" t="s">
        <v>74</v>
      </c>
      <c r="S317" t="s">
        <v>74</v>
      </c>
      <c r="T317" t="s">
        <v>74</v>
      </c>
      <c r="U317" t="s">
        <v>4455</v>
      </c>
      <c r="V317" t="s">
        <v>4456</v>
      </c>
      <c r="W317" t="s">
        <v>4457</v>
      </c>
      <c r="X317" t="s">
        <v>4458</v>
      </c>
      <c r="Y317" t="s">
        <v>4459</v>
      </c>
      <c r="Z317" t="s">
        <v>74</v>
      </c>
      <c r="AA317" t="s">
        <v>74</v>
      </c>
      <c r="AB317" t="s">
        <v>74</v>
      </c>
      <c r="AC317" t="s">
        <v>74</v>
      </c>
      <c r="AD317" t="s">
        <v>74</v>
      </c>
      <c r="AE317" t="s">
        <v>74</v>
      </c>
      <c r="AF317" t="s">
        <v>74</v>
      </c>
      <c r="AG317">
        <v>43</v>
      </c>
      <c r="AH317">
        <v>26</v>
      </c>
      <c r="AI317">
        <v>29</v>
      </c>
      <c r="AJ317">
        <v>0</v>
      </c>
      <c r="AK317">
        <v>5</v>
      </c>
      <c r="AL317" t="s">
        <v>1259</v>
      </c>
      <c r="AM317" t="s">
        <v>561</v>
      </c>
      <c r="AN317" t="s">
        <v>1260</v>
      </c>
      <c r="AO317" t="s">
        <v>4435</v>
      </c>
      <c r="AP317" t="s">
        <v>74</v>
      </c>
      <c r="AQ317" t="s">
        <v>74</v>
      </c>
      <c r="AR317" t="s">
        <v>4436</v>
      </c>
      <c r="AS317" t="s">
        <v>4437</v>
      </c>
      <c r="AT317" t="s">
        <v>566</v>
      </c>
      <c r="AU317">
        <v>2003</v>
      </c>
      <c r="AV317">
        <v>26</v>
      </c>
      <c r="AW317">
        <v>1</v>
      </c>
      <c r="AX317" t="s">
        <v>74</v>
      </c>
      <c r="AY317" t="s">
        <v>74</v>
      </c>
      <c r="AZ317" t="s">
        <v>74</v>
      </c>
      <c r="BA317" t="s">
        <v>74</v>
      </c>
      <c r="BB317">
        <v>49</v>
      </c>
      <c r="BC317">
        <v>54</v>
      </c>
      <c r="BD317" t="s">
        <v>74</v>
      </c>
      <c r="BE317" t="s">
        <v>4460</v>
      </c>
      <c r="BF317" t="str">
        <f>HYPERLINK("http://dx.doi.org/10.1007/s00300-002-0442-3","http://dx.doi.org/10.1007/s00300-002-0442-3")</f>
        <v>http://dx.doi.org/10.1007/s00300-002-0442-3</v>
      </c>
      <c r="BG317" t="s">
        <v>74</v>
      </c>
      <c r="BH317" t="s">
        <v>74</v>
      </c>
      <c r="BI317">
        <v>6</v>
      </c>
      <c r="BJ317" t="s">
        <v>4439</v>
      </c>
      <c r="BK317" t="s">
        <v>569</v>
      </c>
      <c r="BL317" t="s">
        <v>4440</v>
      </c>
      <c r="BM317" t="s">
        <v>4441</v>
      </c>
      <c r="BN317" t="s">
        <v>74</v>
      </c>
      <c r="BO317" t="s">
        <v>794</v>
      </c>
      <c r="BP317" t="s">
        <v>74</v>
      </c>
      <c r="BQ317" t="s">
        <v>74</v>
      </c>
      <c r="BR317" t="s">
        <v>98</v>
      </c>
      <c r="BS317" t="s">
        <v>4461</v>
      </c>
      <c r="BT317" t="str">
        <f>HYPERLINK("https%3A%2F%2Fwww.webofscience.com%2Fwos%2Fwoscc%2Ffull-record%2FWOS:000180536100008","View Full Record in Web of Science")</f>
        <v>View Full Record in Web of Science</v>
      </c>
    </row>
    <row r="318" spans="1:72" x14ac:dyDescent="0.15">
      <c r="A318" t="s">
        <v>552</v>
      </c>
      <c r="B318" t="s">
        <v>4462</v>
      </c>
      <c r="C318" t="s">
        <v>74</v>
      </c>
      <c r="D318" t="s">
        <v>74</v>
      </c>
      <c r="E318" t="s">
        <v>74</v>
      </c>
      <c r="F318" t="s">
        <v>4462</v>
      </c>
      <c r="G318" t="s">
        <v>74</v>
      </c>
      <c r="H318" t="s">
        <v>74</v>
      </c>
      <c r="I318" t="s">
        <v>4463</v>
      </c>
      <c r="J318" t="s">
        <v>4431</v>
      </c>
      <c r="K318" t="s">
        <v>74</v>
      </c>
      <c r="L318" t="s">
        <v>74</v>
      </c>
      <c r="M318" t="s">
        <v>78</v>
      </c>
      <c r="N318" t="s">
        <v>775</v>
      </c>
      <c r="O318" t="s">
        <v>74</v>
      </c>
      <c r="P318" t="s">
        <v>74</v>
      </c>
      <c r="Q318" t="s">
        <v>74</v>
      </c>
      <c r="R318" t="s">
        <v>74</v>
      </c>
      <c r="S318" t="s">
        <v>74</v>
      </c>
      <c r="T318" t="s">
        <v>74</v>
      </c>
      <c r="U318" t="s">
        <v>4464</v>
      </c>
      <c r="V318" t="s">
        <v>4465</v>
      </c>
      <c r="W318" t="s">
        <v>4466</v>
      </c>
      <c r="X318" t="s">
        <v>4467</v>
      </c>
      <c r="Y318" t="s">
        <v>4468</v>
      </c>
      <c r="Z318" t="s">
        <v>74</v>
      </c>
      <c r="AA318" t="s">
        <v>4469</v>
      </c>
      <c r="AB318" t="s">
        <v>4470</v>
      </c>
      <c r="AC318" t="s">
        <v>74</v>
      </c>
      <c r="AD318" t="s">
        <v>74</v>
      </c>
      <c r="AE318" t="s">
        <v>74</v>
      </c>
      <c r="AF318" t="s">
        <v>74</v>
      </c>
      <c r="AG318">
        <v>50</v>
      </c>
      <c r="AH318">
        <v>23</v>
      </c>
      <c r="AI318">
        <v>26</v>
      </c>
      <c r="AJ318">
        <v>1</v>
      </c>
      <c r="AK318">
        <v>13</v>
      </c>
      <c r="AL318" t="s">
        <v>1259</v>
      </c>
      <c r="AM318" t="s">
        <v>561</v>
      </c>
      <c r="AN318" t="s">
        <v>1260</v>
      </c>
      <c r="AO318" t="s">
        <v>4435</v>
      </c>
      <c r="AP318" t="s">
        <v>74</v>
      </c>
      <c r="AQ318" t="s">
        <v>74</v>
      </c>
      <c r="AR318" t="s">
        <v>4436</v>
      </c>
      <c r="AS318" t="s">
        <v>4437</v>
      </c>
      <c r="AT318" t="s">
        <v>566</v>
      </c>
      <c r="AU318">
        <v>2003</v>
      </c>
      <c r="AV318">
        <v>26</v>
      </c>
      <c r="AW318">
        <v>1</v>
      </c>
      <c r="AX318" t="s">
        <v>74</v>
      </c>
      <c r="AY318" t="s">
        <v>74</v>
      </c>
      <c r="AZ318" t="s">
        <v>74</v>
      </c>
      <c r="BA318" t="s">
        <v>74</v>
      </c>
      <c r="BB318">
        <v>55</v>
      </c>
      <c r="BC318">
        <v>61</v>
      </c>
      <c r="BD318" t="s">
        <v>74</v>
      </c>
      <c r="BE318" t="s">
        <v>4471</v>
      </c>
      <c r="BF318" t="str">
        <f>HYPERLINK("http://dx.doi.org/10.1007/s00300-002-0440-5","http://dx.doi.org/10.1007/s00300-002-0440-5")</f>
        <v>http://dx.doi.org/10.1007/s00300-002-0440-5</v>
      </c>
      <c r="BG318" t="s">
        <v>74</v>
      </c>
      <c r="BH318" t="s">
        <v>74</v>
      </c>
      <c r="BI318">
        <v>7</v>
      </c>
      <c r="BJ318" t="s">
        <v>4439</v>
      </c>
      <c r="BK318" t="s">
        <v>569</v>
      </c>
      <c r="BL318" t="s">
        <v>4440</v>
      </c>
      <c r="BM318" t="s">
        <v>4441</v>
      </c>
      <c r="BN318" t="s">
        <v>74</v>
      </c>
      <c r="BO318" t="s">
        <v>590</v>
      </c>
      <c r="BP318" t="s">
        <v>74</v>
      </c>
      <c r="BQ318" t="s">
        <v>74</v>
      </c>
      <c r="BR318" t="s">
        <v>98</v>
      </c>
      <c r="BS318" t="s">
        <v>4472</v>
      </c>
      <c r="BT318" t="str">
        <f>HYPERLINK("https%3A%2F%2Fwww.webofscience.com%2Fwos%2Fwoscc%2Ffull-record%2FWOS:000180536100009","View Full Record in Web of Science")</f>
        <v>View Full Record in Web of Science</v>
      </c>
    </row>
    <row r="319" spans="1:72" x14ac:dyDescent="0.15">
      <c r="A319" t="s">
        <v>552</v>
      </c>
      <c r="B319" t="s">
        <v>4473</v>
      </c>
      <c r="C319" t="s">
        <v>74</v>
      </c>
      <c r="D319" t="s">
        <v>74</v>
      </c>
      <c r="E319" t="s">
        <v>74</v>
      </c>
      <c r="F319" t="s">
        <v>4473</v>
      </c>
      <c r="G319" t="s">
        <v>74</v>
      </c>
      <c r="H319" t="s">
        <v>74</v>
      </c>
      <c r="I319" t="s">
        <v>4474</v>
      </c>
      <c r="J319" t="s">
        <v>4431</v>
      </c>
      <c r="K319" t="s">
        <v>74</v>
      </c>
      <c r="L319" t="s">
        <v>74</v>
      </c>
      <c r="M319" t="s">
        <v>78</v>
      </c>
      <c r="N319" t="s">
        <v>775</v>
      </c>
      <c r="O319" t="s">
        <v>74</v>
      </c>
      <c r="P319" t="s">
        <v>74</v>
      </c>
      <c r="Q319" t="s">
        <v>74</v>
      </c>
      <c r="R319" t="s">
        <v>74</v>
      </c>
      <c r="S319" t="s">
        <v>74</v>
      </c>
      <c r="T319" t="s">
        <v>74</v>
      </c>
      <c r="U319" t="s">
        <v>4475</v>
      </c>
      <c r="V319" t="s">
        <v>4476</v>
      </c>
      <c r="W319" t="s">
        <v>4477</v>
      </c>
      <c r="X319" t="s">
        <v>4478</v>
      </c>
      <c r="Y319" t="s">
        <v>4479</v>
      </c>
      <c r="Z319" t="s">
        <v>74</v>
      </c>
      <c r="AA319" t="s">
        <v>4480</v>
      </c>
      <c r="AB319" t="s">
        <v>4481</v>
      </c>
      <c r="AC319" t="s">
        <v>74</v>
      </c>
      <c r="AD319" t="s">
        <v>74</v>
      </c>
      <c r="AE319" t="s">
        <v>74</v>
      </c>
      <c r="AF319" t="s">
        <v>74</v>
      </c>
      <c r="AG319">
        <v>45</v>
      </c>
      <c r="AH319">
        <v>37</v>
      </c>
      <c r="AI319">
        <v>42</v>
      </c>
      <c r="AJ319">
        <v>1</v>
      </c>
      <c r="AK319">
        <v>17</v>
      </c>
      <c r="AL319" t="s">
        <v>1259</v>
      </c>
      <c r="AM319" t="s">
        <v>561</v>
      </c>
      <c r="AN319" t="s">
        <v>1260</v>
      </c>
      <c r="AO319" t="s">
        <v>4435</v>
      </c>
      <c r="AP319" t="s">
        <v>74</v>
      </c>
      <c r="AQ319" t="s">
        <v>74</v>
      </c>
      <c r="AR319" t="s">
        <v>4436</v>
      </c>
      <c r="AS319" t="s">
        <v>4437</v>
      </c>
      <c r="AT319" t="s">
        <v>566</v>
      </c>
      <c r="AU319">
        <v>2003</v>
      </c>
      <c r="AV319">
        <v>26</v>
      </c>
      <c r="AW319">
        <v>1</v>
      </c>
      <c r="AX319" t="s">
        <v>74</v>
      </c>
      <c r="AY319" t="s">
        <v>74</v>
      </c>
      <c r="AZ319" t="s">
        <v>74</v>
      </c>
      <c r="BA319" t="s">
        <v>74</v>
      </c>
      <c r="BB319">
        <v>62</v>
      </c>
      <c r="BC319">
        <v>69</v>
      </c>
      <c r="BD319" t="s">
        <v>74</v>
      </c>
      <c r="BE319" t="s">
        <v>4482</v>
      </c>
      <c r="BF319" t="str">
        <f>HYPERLINK("http://dx.doi.org/10.1007/s00300-002-0438-z","http://dx.doi.org/10.1007/s00300-002-0438-z")</f>
        <v>http://dx.doi.org/10.1007/s00300-002-0438-z</v>
      </c>
      <c r="BG319" t="s">
        <v>74</v>
      </c>
      <c r="BH319" t="s">
        <v>74</v>
      </c>
      <c r="BI319">
        <v>8</v>
      </c>
      <c r="BJ319" t="s">
        <v>4439</v>
      </c>
      <c r="BK319" t="s">
        <v>569</v>
      </c>
      <c r="BL319" t="s">
        <v>4440</v>
      </c>
      <c r="BM319" t="s">
        <v>4441</v>
      </c>
      <c r="BN319" t="s">
        <v>74</v>
      </c>
      <c r="BO319" t="s">
        <v>74</v>
      </c>
      <c r="BP319" t="s">
        <v>74</v>
      </c>
      <c r="BQ319" t="s">
        <v>74</v>
      </c>
      <c r="BR319" t="s">
        <v>98</v>
      </c>
      <c r="BS319" t="s">
        <v>4483</v>
      </c>
      <c r="BT319" t="str">
        <f>HYPERLINK("https%3A%2F%2Fwww.webofscience.com%2Fwos%2Fwoscc%2Ffull-record%2FWOS:000180536100010","View Full Record in Web of Science")</f>
        <v>View Full Record in Web of Science</v>
      </c>
    </row>
    <row r="320" spans="1:72" x14ac:dyDescent="0.15">
      <c r="A320" t="s">
        <v>552</v>
      </c>
      <c r="B320" t="s">
        <v>4484</v>
      </c>
      <c r="C320" t="s">
        <v>74</v>
      </c>
      <c r="D320" t="s">
        <v>74</v>
      </c>
      <c r="E320" t="s">
        <v>74</v>
      </c>
      <c r="F320" t="s">
        <v>4484</v>
      </c>
      <c r="G320" t="s">
        <v>74</v>
      </c>
      <c r="H320" t="s">
        <v>74</v>
      </c>
      <c r="I320" t="s">
        <v>4485</v>
      </c>
      <c r="J320" t="s">
        <v>4486</v>
      </c>
      <c r="K320" t="s">
        <v>74</v>
      </c>
      <c r="L320" t="s">
        <v>74</v>
      </c>
      <c r="M320" t="s">
        <v>78</v>
      </c>
      <c r="N320" t="s">
        <v>576</v>
      </c>
      <c r="O320" t="s">
        <v>4487</v>
      </c>
      <c r="P320" t="s">
        <v>4488</v>
      </c>
      <c r="Q320" t="s">
        <v>2359</v>
      </c>
      <c r="R320" t="s">
        <v>74</v>
      </c>
      <c r="S320" t="s">
        <v>74</v>
      </c>
      <c r="T320" t="s">
        <v>74</v>
      </c>
      <c r="U320" t="s">
        <v>74</v>
      </c>
      <c r="V320" t="s">
        <v>4489</v>
      </c>
      <c r="W320" t="s">
        <v>4490</v>
      </c>
      <c r="X320" t="s">
        <v>4491</v>
      </c>
      <c r="Y320" t="s">
        <v>4492</v>
      </c>
      <c r="Z320" t="s">
        <v>4493</v>
      </c>
      <c r="AA320" t="s">
        <v>2056</v>
      </c>
      <c r="AB320" t="s">
        <v>74</v>
      </c>
      <c r="AC320" t="s">
        <v>74</v>
      </c>
      <c r="AD320" t="s">
        <v>74</v>
      </c>
      <c r="AE320" t="s">
        <v>74</v>
      </c>
      <c r="AF320" t="s">
        <v>74</v>
      </c>
      <c r="AG320">
        <v>10</v>
      </c>
      <c r="AH320">
        <v>49</v>
      </c>
      <c r="AI320">
        <v>54</v>
      </c>
      <c r="AJ320">
        <v>0</v>
      </c>
      <c r="AK320">
        <v>11</v>
      </c>
      <c r="AL320" t="s">
        <v>4494</v>
      </c>
      <c r="AM320" t="s">
        <v>4495</v>
      </c>
      <c r="AN320" t="s">
        <v>4496</v>
      </c>
      <c r="AO320" t="s">
        <v>4497</v>
      </c>
      <c r="AP320" t="s">
        <v>4498</v>
      </c>
      <c r="AQ320" t="s">
        <v>74</v>
      </c>
      <c r="AR320" t="s">
        <v>4499</v>
      </c>
      <c r="AS320" t="s">
        <v>4500</v>
      </c>
      <c r="AT320" t="s">
        <v>74</v>
      </c>
      <c r="AU320">
        <v>2003</v>
      </c>
      <c r="AV320">
        <v>22</v>
      </c>
      <c r="AW320">
        <v>1</v>
      </c>
      <c r="AX320" t="s">
        <v>74</v>
      </c>
      <c r="AY320" t="s">
        <v>74</v>
      </c>
      <c r="AZ320" t="s">
        <v>74</v>
      </c>
      <c r="BA320" t="s">
        <v>74</v>
      </c>
      <c r="BB320">
        <v>19</v>
      </c>
      <c r="BC320">
        <v>25</v>
      </c>
      <c r="BD320" t="s">
        <v>74</v>
      </c>
      <c r="BE320" t="s">
        <v>4501</v>
      </c>
      <c r="BF320" t="str">
        <f>HYPERLINK("http://dx.doi.org/10.1111/j.1751-8369.2003.tb00091.x","http://dx.doi.org/10.1111/j.1751-8369.2003.tb00091.x")</f>
        <v>http://dx.doi.org/10.1111/j.1751-8369.2003.tb00091.x</v>
      </c>
      <c r="BG320" t="s">
        <v>74</v>
      </c>
      <c r="BH320" t="s">
        <v>74</v>
      </c>
      <c r="BI320">
        <v>7</v>
      </c>
      <c r="BJ320" t="s">
        <v>4502</v>
      </c>
      <c r="BK320" t="s">
        <v>605</v>
      </c>
      <c r="BL320" t="s">
        <v>4503</v>
      </c>
      <c r="BM320" t="s">
        <v>4504</v>
      </c>
      <c r="BN320" t="s">
        <v>74</v>
      </c>
      <c r="BO320" t="s">
        <v>74</v>
      </c>
      <c r="BP320" t="s">
        <v>74</v>
      </c>
      <c r="BQ320" t="s">
        <v>74</v>
      </c>
      <c r="BR320" t="s">
        <v>98</v>
      </c>
      <c r="BS320" t="s">
        <v>4505</v>
      </c>
      <c r="BT320" t="str">
        <f>HYPERLINK("https%3A%2F%2Fwww.webofscience.com%2Fwos%2Fwoscc%2Ffull-record%2FWOS:000183909600004","View Full Record in Web of Science")</f>
        <v>View Full Record in Web of Science</v>
      </c>
    </row>
    <row r="321" spans="1:72" x14ac:dyDescent="0.15">
      <c r="A321" t="s">
        <v>552</v>
      </c>
      <c r="B321" t="s">
        <v>4506</v>
      </c>
      <c r="C321" t="s">
        <v>74</v>
      </c>
      <c r="D321" t="s">
        <v>74</v>
      </c>
      <c r="E321" t="s">
        <v>74</v>
      </c>
      <c r="F321" t="s">
        <v>4506</v>
      </c>
      <c r="G321" t="s">
        <v>74</v>
      </c>
      <c r="H321" t="s">
        <v>74</v>
      </c>
      <c r="I321" t="s">
        <v>4507</v>
      </c>
      <c r="J321" t="s">
        <v>4486</v>
      </c>
      <c r="K321" t="s">
        <v>74</v>
      </c>
      <c r="L321" t="s">
        <v>74</v>
      </c>
      <c r="M321" t="s">
        <v>78</v>
      </c>
      <c r="N321" t="s">
        <v>576</v>
      </c>
      <c r="O321" t="s">
        <v>4487</v>
      </c>
      <c r="P321" t="s">
        <v>4488</v>
      </c>
      <c r="Q321" t="s">
        <v>2359</v>
      </c>
      <c r="R321" t="s">
        <v>74</v>
      </c>
      <c r="S321" t="s">
        <v>74</v>
      </c>
      <c r="T321" t="s">
        <v>74</v>
      </c>
      <c r="U321" t="s">
        <v>4508</v>
      </c>
      <c r="V321" t="s">
        <v>4509</v>
      </c>
      <c r="W321" t="s">
        <v>4510</v>
      </c>
      <c r="X321" t="s">
        <v>4511</v>
      </c>
      <c r="Y321" t="s">
        <v>4512</v>
      </c>
      <c r="Z321" t="s">
        <v>4513</v>
      </c>
      <c r="AA321" t="s">
        <v>4514</v>
      </c>
      <c r="AB321" t="s">
        <v>74</v>
      </c>
      <c r="AC321" t="s">
        <v>74</v>
      </c>
      <c r="AD321" t="s">
        <v>74</v>
      </c>
      <c r="AE321" t="s">
        <v>74</v>
      </c>
      <c r="AF321" t="s">
        <v>74</v>
      </c>
      <c r="AG321">
        <v>39</v>
      </c>
      <c r="AH321">
        <v>16</v>
      </c>
      <c r="AI321">
        <v>16</v>
      </c>
      <c r="AJ321">
        <v>0</v>
      </c>
      <c r="AK321">
        <v>1</v>
      </c>
      <c r="AL321" t="s">
        <v>4494</v>
      </c>
      <c r="AM321" t="s">
        <v>4495</v>
      </c>
      <c r="AN321" t="s">
        <v>4496</v>
      </c>
      <c r="AO321" t="s">
        <v>4497</v>
      </c>
      <c r="AP321" t="s">
        <v>4498</v>
      </c>
      <c r="AQ321" t="s">
        <v>74</v>
      </c>
      <c r="AR321" t="s">
        <v>4499</v>
      </c>
      <c r="AS321" t="s">
        <v>4500</v>
      </c>
      <c r="AT321" t="s">
        <v>74</v>
      </c>
      <c r="AU321">
        <v>2003</v>
      </c>
      <c r="AV321">
        <v>22</v>
      </c>
      <c r="AW321">
        <v>1</v>
      </c>
      <c r="AX321" t="s">
        <v>74</v>
      </c>
      <c r="AY321" t="s">
        <v>74</v>
      </c>
      <c r="AZ321" t="s">
        <v>74</v>
      </c>
      <c r="BA321" t="s">
        <v>74</v>
      </c>
      <c r="BB321">
        <v>91</v>
      </c>
      <c r="BC321">
        <v>98</v>
      </c>
      <c r="BD321" t="s">
        <v>74</v>
      </c>
      <c r="BE321" t="s">
        <v>4515</v>
      </c>
      <c r="BF321" t="str">
        <f>HYPERLINK("http://dx.doi.org/10.1111/j.1751-8369.2003.tb00100.x","http://dx.doi.org/10.1111/j.1751-8369.2003.tb00100.x")</f>
        <v>http://dx.doi.org/10.1111/j.1751-8369.2003.tb00100.x</v>
      </c>
      <c r="BG321" t="s">
        <v>74</v>
      </c>
      <c r="BH321" t="s">
        <v>74</v>
      </c>
      <c r="BI321">
        <v>8</v>
      </c>
      <c r="BJ321" t="s">
        <v>4502</v>
      </c>
      <c r="BK321" t="s">
        <v>605</v>
      </c>
      <c r="BL321" t="s">
        <v>4503</v>
      </c>
      <c r="BM321" t="s">
        <v>4504</v>
      </c>
      <c r="BN321" t="s">
        <v>74</v>
      </c>
      <c r="BO321" t="s">
        <v>794</v>
      </c>
      <c r="BP321" t="s">
        <v>74</v>
      </c>
      <c r="BQ321" t="s">
        <v>74</v>
      </c>
      <c r="BR321" t="s">
        <v>98</v>
      </c>
      <c r="BS321" t="s">
        <v>4516</v>
      </c>
      <c r="BT321" t="str">
        <f>HYPERLINK("https%3A%2F%2Fwww.webofscience.com%2Fwos%2Fwoscc%2Ffull-record%2FWOS:000183909600013","View Full Record in Web of Science")</f>
        <v>View Full Record in Web of Science</v>
      </c>
    </row>
    <row r="322" spans="1:72" x14ac:dyDescent="0.15">
      <c r="A322" t="s">
        <v>552</v>
      </c>
      <c r="B322" t="s">
        <v>4517</v>
      </c>
      <c r="C322" t="s">
        <v>74</v>
      </c>
      <c r="D322" t="s">
        <v>74</v>
      </c>
      <c r="E322" t="s">
        <v>74</v>
      </c>
      <c r="F322" t="s">
        <v>4517</v>
      </c>
      <c r="G322" t="s">
        <v>74</v>
      </c>
      <c r="H322" t="s">
        <v>74</v>
      </c>
      <c r="I322" t="s">
        <v>4518</v>
      </c>
      <c r="J322" t="s">
        <v>4486</v>
      </c>
      <c r="K322" t="s">
        <v>74</v>
      </c>
      <c r="L322" t="s">
        <v>74</v>
      </c>
      <c r="M322" t="s">
        <v>78</v>
      </c>
      <c r="N322" t="s">
        <v>775</v>
      </c>
      <c r="O322" t="s">
        <v>74</v>
      </c>
      <c r="P322" t="s">
        <v>74</v>
      </c>
      <c r="Q322" t="s">
        <v>74</v>
      </c>
      <c r="R322" t="s">
        <v>74</v>
      </c>
      <c r="S322" t="s">
        <v>74</v>
      </c>
      <c r="T322" t="s">
        <v>74</v>
      </c>
      <c r="U322" t="s">
        <v>4519</v>
      </c>
      <c r="V322" t="s">
        <v>4520</v>
      </c>
      <c r="W322" t="s">
        <v>4521</v>
      </c>
      <c r="X322" t="s">
        <v>4522</v>
      </c>
      <c r="Y322" t="s">
        <v>4523</v>
      </c>
      <c r="Z322" t="s">
        <v>74</v>
      </c>
      <c r="AA322" t="s">
        <v>74</v>
      </c>
      <c r="AB322" t="s">
        <v>74</v>
      </c>
      <c r="AC322" t="s">
        <v>74</v>
      </c>
      <c r="AD322" t="s">
        <v>74</v>
      </c>
      <c r="AE322" t="s">
        <v>74</v>
      </c>
      <c r="AF322" t="s">
        <v>74</v>
      </c>
      <c r="AG322">
        <v>63</v>
      </c>
      <c r="AH322">
        <v>45</v>
      </c>
      <c r="AI322">
        <v>48</v>
      </c>
      <c r="AJ322">
        <v>0</v>
      </c>
      <c r="AK322">
        <v>22</v>
      </c>
      <c r="AL322" t="s">
        <v>4494</v>
      </c>
      <c r="AM322" t="s">
        <v>4495</v>
      </c>
      <c r="AN322" t="s">
        <v>4524</v>
      </c>
      <c r="AO322" t="s">
        <v>4497</v>
      </c>
      <c r="AP322" t="s">
        <v>74</v>
      </c>
      <c r="AQ322" t="s">
        <v>74</v>
      </c>
      <c r="AR322" t="s">
        <v>4499</v>
      </c>
      <c r="AS322" t="s">
        <v>4500</v>
      </c>
      <c r="AT322" t="s">
        <v>74</v>
      </c>
      <c r="AU322">
        <v>2003</v>
      </c>
      <c r="AV322">
        <v>22</v>
      </c>
      <c r="AW322">
        <v>2</v>
      </c>
      <c r="AX322" t="s">
        <v>74</v>
      </c>
      <c r="AY322" t="s">
        <v>74</v>
      </c>
      <c r="AZ322" t="s">
        <v>74</v>
      </c>
      <c r="BA322" t="s">
        <v>74</v>
      </c>
      <c r="BB322">
        <v>125</v>
      </c>
      <c r="BC322">
        <v>144</v>
      </c>
      <c r="BD322" t="s">
        <v>74</v>
      </c>
      <c r="BE322" t="s">
        <v>4525</v>
      </c>
      <c r="BF322" t="str">
        <f>HYPERLINK("http://dx.doi.org/10.1111/j.1751-8369.2003.tb00103.x","http://dx.doi.org/10.1111/j.1751-8369.2003.tb00103.x")</f>
        <v>http://dx.doi.org/10.1111/j.1751-8369.2003.tb00103.x</v>
      </c>
      <c r="BG322" t="s">
        <v>74</v>
      </c>
      <c r="BH322" t="s">
        <v>74</v>
      </c>
      <c r="BI322">
        <v>20</v>
      </c>
      <c r="BJ322" t="s">
        <v>4502</v>
      </c>
      <c r="BK322" t="s">
        <v>569</v>
      </c>
      <c r="BL322" t="s">
        <v>4503</v>
      </c>
      <c r="BM322" t="s">
        <v>4526</v>
      </c>
      <c r="BN322" t="s">
        <v>74</v>
      </c>
      <c r="BO322" t="s">
        <v>590</v>
      </c>
      <c r="BP322" t="s">
        <v>74</v>
      </c>
      <c r="BQ322" t="s">
        <v>74</v>
      </c>
      <c r="BR322" t="s">
        <v>98</v>
      </c>
      <c r="BS322" t="s">
        <v>4527</v>
      </c>
      <c r="BT322" t="str">
        <f>HYPERLINK("https%3A%2F%2Fwww.webofscience.com%2Fwos%2Fwoscc%2Ffull-record%2FWOS:000187618900002","View Full Record in Web of Science")</f>
        <v>View Full Record in Web of Science</v>
      </c>
    </row>
    <row r="323" spans="1:72" x14ac:dyDescent="0.15">
      <c r="A323" t="s">
        <v>552</v>
      </c>
      <c r="B323" t="s">
        <v>4528</v>
      </c>
      <c r="C323" t="s">
        <v>74</v>
      </c>
      <c r="D323" t="s">
        <v>74</v>
      </c>
      <c r="E323" t="s">
        <v>74</v>
      </c>
      <c r="F323" t="s">
        <v>4528</v>
      </c>
      <c r="G323" t="s">
        <v>74</v>
      </c>
      <c r="H323" t="s">
        <v>74</v>
      </c>
      <c r="I323" t="s">
        <v>4529</v>
      </c>
      <c r="J323" t="s">
        <v>4486</v>
      </c>
      <c r="K323" t="s">
        <v>74</v>
      </c>
      <c r="L323" t="s">
        <v>74</v>
      </c>
      <c r="M323" t="s">
        <v>78</v>
      </c>
      <c r="N323" t="s">
        <v>775</v>
      </c>
      <c r="O323" t="s">
        <v>74</v>
      </c>
      <c r="P323" t="s">
        <v>74</v>
      </c>
      <c r="Q323" t="s">
        <v>74</v>
      </c>
      <c r="R323" t="s">
        <v>74</v>
      </c>
      <c r="S323" t="s">
        <v>74</v>
      </c>
      <c r="T323" t="s">
        <v>74</v>
      </c>
      <c r="U323" t="s">
        <v>4530</v>
      </c>
      <c r="V323" t="s">
        <v>4531</v>
      </c>
      <c r="W323" t="s">
        <v>4532</v>
      </c>
      <c r="X323" t="s">
        <v>4533</v>
      </c>
      <c r="Y323" t="s">
        <v>4534</v>
      </c>
      <c r="Z323" t="s">
        <v>4535</v>
      </c>
      <c r="AA323" t="s">
        <v>4536</v>
      </c>
      <c r="AB323" t="s">
        <v>4537</v>
      </c>
      <c r="AC323" t="s">
        <v>74</v>
      </c>
      <c r="AD323" t="s">
        <v>74</v>
      </c>
      <c r="AE323" t="s">
        <v>74</v>
      </c>
      <c r="AF323" t="s">
        <v>74</v>
      </c>
      <c r="AG323">
        <v>29</v>
      </c>
      <c r="AH323">
        <v>47</v>
      </c>
      <c r="AI323">
        <v>47</v>
      </c>
      <c r="AJ323">
        <v>0</v>
      </c>
      <c r="AK323">
        <v>14</v>
      </c>
      <c r="AL323" t="s">
        <v>2060</v>
      </c>
      <c r="AM323" t="s">
        <v>2061</v>
      </c>
      <c r="AN323" t="s">
        <v>2062</v>
      </c>
      <c r="AO323" t="s">
        <v>4497</v>
      </c>
      <c r="AP323" t="s">
        <v>4498</v>
      </c>
      <c r="AQ323" t="s">
        <v>74</v>
      </c>
      <c r="AR323" t="s">
        <v>4499</v>
      </c>
      <c r="AS323" t="s">
        <v>4500</v>
      </c>
      <c r="AT323" t="s">
        <v>74</v>
      </c>
      <c r="AU323">
        <v>2003</v>
      </c>
      <c r="AV323">
        <v>22</v>
      </c>
      <c r="AW323">
        <v>2</v>
      </c>
      <c r="AX323" t="s">
        <v>74</v>
      </c>
      <c r="AY323" t="s">
        <v>74</v>
      </c>
      <c r="AZ323" t="s">
        <v>74</v>
      </c>
      <c r="BA323" t="s">
        <v>74</v>
      </c>
      <c r="BB323">
        <v>301</v>
      </c>
      <c r="BC323">
        <v>316</v>
      </c>
      <c r="BD323" t="s">
        <v>74</v>
      </c>
      <c r="BE323" t="s">
        <v>4538</v>
      </c>
      <c r="BF323" t="str">
        <f>HYPERLINK("http://dx.doi.org/10.1111/j.1751-8369.2003.tb00114.x","http://dx.doi.org/10.1111/j.1751-8369.2003.tb00114.x")</f>
        <v>http://dx.doi.org/10.1111/j.1751-8369.2003.tb00114.x</v>
      </c>
      <c r="BG323" t="s">
        <v>74</v>
      </c>
      <c r="BH323" t="s">
        <v>74</v>
      </c>
      <c r="BI323">
        <v>16</v>
      </c>
      <c r="BJ323" t="s">
        <v>4502</v>
      </c>
      <c r="BK323" t="s">
        <v>569</v>
      </c>
      <c r="BL323" t="s">
        <v>4503</v>
      </c>
      <c r="BM323" t="s">
        <v>4526</v>
      </c>
      <c r="BN323" t="s">
        <v>74</v>
      </c>
      <c r="BO323" t="s">
        <v>1574</v>
      </c>
      <c r="BP323" t="s">
        <v>74</v>
      </c>
      <c r="BQ323" t="s">
        <v>74</v>
      </c>
      <c r="BR323" t="s">
        <v>98</v>
      </c>
      <c r="BS323" t="s">
        <v>4539</v>
      </c>
      <c r="BT323" t="str">
        <f>HYPERLINK("https%3A%2F%2Fwww.webofscience.com%2Fwos%2Fwoscc%2Ffull-record%2FWOS:000187618900013","View Full Record in Web of Science")</f>
        <v>View Full Record in Web of Science</v>
      </c>
    </row>
    <row r="324" spans="1:72" x14ac:dyDescent="0.15">
      <c r="A324" t="s">
        <v>72</v>
      </c>
      <c r="B324" t="s">
        <v>4540</v>
      </c>
      <c r="C324" t="s">
        <v>74</v>
      </c>
      <c r="D324" t="s">
        <v>74</v>
      </c>
      <c r="E324" t="s">
        <v>4541</v>
      </c>
      <c r="F324" t="s">
        <v>4540</v>
      </c>
      <c r="G324" t="s">
        <v>74</v>
      </c>
      <c r="H324" t="s">
        <v>74</v>
      </c>
      <c r="I324" t="s">
        <v>4542</v>
      </c>
      <c r="J324" t="s">
        <v>4543</v>
      </c>
      <c r="K324" t="s">
        <v>74</v>
      </c>
      <c r="L324" t="s">
        <v>74</v>
      </c>
      <c r="M324" t="s">
        <v>78</v>
      </c>
      <c r="N324" t="s">
        <v>79</v>
      </c>
      <c r="O324" t="s">
        <v>4544</v>
      </c>
      <c r="P324" t="s">
        <v>4545</v>
      </c>
      <c r="Q324" t="s">
        <v>4546</v>
      </c>
      <c r="R324" t="s">
        <v>74</v>
      </c>
      <c r="S324" t="s">
        <v>74</v>
      </c>
      <c r="T324" t="s">
        <v>74</v>
      </c>
      <c r="U324" t="s">
        <v>74</v>
      </c>
      <c r="V324" t="s">
        <v>4547</v>
      </c>
      <c r="W324" t="s">
        <v>74</v>
      </c>
      <c r="X324" t="s">
        <v>74</v>
      </c>
      <c r="Y324" t="s">
        <v>74</v>
      </c>
      <c r="Z324" t="s">
        <v>74</v>
      </c>
      <c r="AA324" t="s">
        <v>74</v>
      </c>
      <c r="AB324" t="s">
        <v>74</v>
      </c>
      <c r="AC324" t="s">
        <v>74</v>
      </c>
      <c r="AD324" t="s">
        <v>74</v>
      </c>
      <c r="AE324" t="s">
        <v>74</v>
      </c>
      <c r="AF324" t="s">
        <v>74</v>
      </c>
      <c r="AG324">
        <v>7</v>
      </c>
      <c r="AH324">
        <v>0</v>
      </c>
      <c r="AI324">
        <v>0</v>
      </c>
      <c r="AJ324">
        <v>0</v>
      </c>
      <c r="AK324">
        <v>0</v>
      </c>
      <c r="AL324" t="s">
        <v>4548</v>
      </c>
      <c r="AM324" t="s">
        <v>4549</v>
      </c>
      <c r="AN324" t="s">
        <v>4550</v>
      </c>
      <c r="AO324" t="s">
        <v>74</v>
      </c>
      <c r="AP324" t="s">
        <v>74</v>
      </c>
      <c r="AQ324" t="s">
        <v>74</v>
      </c>
      <c r="AR324" t="s">
        <v>74</v>
      </c>
      <c r="AS324" t="s">
        <v>74</v>
      </c>
      <c r="AT324" t="s">
        <v>74</v>
      </c>
      <c r="AU324">
        <v>2003</v>
      </c>
      <c r="AV324" t="s">
        <v>74</v>
      </c>
      <c r="AW324" t="s">
        <v>74</v>
      </c>
      <c r="AX324" t="s">
        <v>74</v>
      </c>
      <c r="AY324" t="s">
        <v>74</v>
      </c>
      <c r="AZ324" t="s">
        <v>74</v>
      </c>
      <c r="BA324" t="s">
        <v>74</v>
      </c>
      <c r="BB324">
        <v>205</v>
      </c>
      <c r="BC324">
        <v>212</v>
      </c>
      <c r="BD324" t="s">
        <v>74</v>
      </c>
      <c r="BE324" t="s">
        <v>74</v>
      </c>
      <c r="BF324" t="s">
        <v>74</v>
      </c>
      <c r="BG324" t="s">
        <v>74</v>
      </c>
      <c r="BH324" t="s">
        <v>74</v>
      </c>
      <c r="BI324">
        <v>8</v>
      </c>
      <c r="BJ324" t="s">
        <v>4551</v>
      </c>
      <c r="BK324" t="s">
        <v>95</v>
      </c>
      <c r="BL324" t="s">
        <v>4552</v>
      </c>
      <c r="BM324" t="s">
        <v>4553</v>
      </c>
      <c r="BN324" t="s">
        <v>74</v>
      </c>
      <c r="BO324" t="s">
        <v>74</v>
      </c>
      <c r="BP324" t="s">
        <v>74</v>
      </c>
      <c r="BQ324" t="s">
        <v>74</v>
      </c>
      <c r="BR324" t="s">
        <v>98</v>
      </c>
      <c r="BS324" t="s">
        <v>4554</v>
      </c>
      <c r="BT324" t="str">
        <f>HYPERLINK("https%3A%2F%2Fwww.webofscience.com%2Fwos%2Fwoscc%2Ffull-record%2FWOS:000223422800018","View Full Record in Web of Science")</f>
        <v>View Full Record in Web of Science</v>
      </c>
    </row>
    <row r="325" spans="1:72" x14ac:dyDescent="0.15">
      <c r="A325" t="s">
        <v>552</v>
      </c>
      <c r="B325" t="s">
        <v>4555</v>
      </c>
      <c r="C325" t="s">
        <v>74</v>
      </c>
      <c r="D325" t="s">
        <v>74</v>
      </c>
      <c r="E325" t="s">
        <v>74</v>
      </c>
      <c r="F325" t="s">
        <v>4555</v>
      </c>
      <c r="G325" t="s">
        <v>74</v>
      </c>
      <c r="H325" t="s">
        <v>74</v>
      </c>
      <c r="I325" t="s">
        <v>4556</v>
      </c>
      <c r="J325" t="s">
        <v>4557</v>
      </c>
      <c r="K325" t="s">
        <v>74</v>
      </c>
      <c r="L325" t="s">
        <v>74</v>
      </c>
      <c r="M325" t="s">
        <v>78</v>
      </c>
      <c r="N325" t="s">
        <v>576</v>
      </c>
      <c r="O325" t="s">
        <v>4558</v>
      </c>
      <c r="P325" t="s">
        <v>4559</v>
      </c>
      <c r="Q325" t="s">
        <v>4560</v>
      </c>
      <c r="R325" t="s">
        <v>74</v>
      </c>
      <c r="S325" t="s">
        <v>74</v>
      </c>
      <c r="T325" t="s">
        <v>4561</v>
      </c>
      <c r="U325" t="s">
        <v>4562</v>
      </c>
      <c r="V325" t="s">
        <v>4563</v>
      </c>
      <c r="W325" t="s">
        <v>4564</v>
      </c>
      <c r="X325" t="s">
        <v>4565</v>
      </c>
      <c r="Y325" t="s">
        <v>4566</v>
      </c>
      <c r="Z325" t="s">
        <v>74</v>
      </c>
      <c r="AA325" t="s">
        <v>4567</v>
      </c>
      <c r="AB325" t="s">
        <v>4568</v>
      </c>
      <c r="AC325" t="s">
        <v>74</v>
      </c>
      <c r="AD325" t="s">
        <v>74</v>
      </c>
      <c r="AE325" t="s">
        <v>74</v>
      </c>
      <c r="AF325" t="s">
        <v>74</v>
      </c>
      <c r="AG325">
        <v>85</v>
      </c>
      <c r="AH325">
        <v>70</v>
      </c>
      <c r="AI325">
        <v>75</v>
      </c>
      <c r="AJ325">
        <v>1</v>
      </c>
      <c r="AK325">
        <v>25</v>
      </c>
      <c r="AL325" t="s">
        <v>806</v>
      </c>
      <c r="AM325" t="s">
        <v>807</v>
      </c>
      <c r="AN325" t="s">
        <v>808</v>
      </c>
      <c r="AO325" t="s">
        <v>4569</v>
      </c>
      <c r="AP325" t="s">
        <v>74</v>
      </c>
      <c r="AQ325" t="s">
        <v>74</v>
      </c>
      <c r="AR325" t="s">
        <v>4570</v>
      </c>
      <c r="AS325" t="s">
        <v>4571</v>
      </c>
      <c r="AT325" t="s">
        <v>74</v>
      </c>
      <c r="AU325">
        <v>2003</v>
      </c>
      <c r="AV325">
        <v>58</v>
      </c>
      <c r="AW325" t="s">
        <v>4572</v>
      </c>
      <c r="AX325" t="s">
        <v>74</v>
      </c>
      <c r="AY325" t="s">
        <v>74</v>
      </c>
      <c r="AZ325" t="s">
        <v>74</v>
      </c>
      <c r="BA325" t="s">
        <v>74</v>
      </c>
      <c r="BB325">
        <v>263</v>
      </c>
      <c r="BC325">
        <v>283</v>
      </c>
      <c r="BD325" t="s">
        <v>74</v>
      </c>
      <c r="BE325" t="s">
        <v>4573</v>
      </c>
      <c r="BF325" t="str">
        <f>HYPERLINK("http://dx.doi.org/10.1016/j.pocean.2003.08.007","http://dx.doi.org/10.1016/j.pocean.2003.08.007")</f>
        <v>http://dx.doi.org/10.1016/j.pocean.2003.08.007</v>
      </c>
      <c r="BG325" t="s">
        <v>74</v>
      </c>
      <c r="BH325" t="s">
        <v>74</v>
      </c>
      <c r="BI325">
        <v>21</v>
      </c>
      <c r="BJ325" t="s">
        <v>1394</v>
      </c>
      <c r="BK325" t="s">
        <v>589</v>
      </c>
      <c r="BL325" t="s">
        <v>1394</v>
      </c>
      <c r="BM325" t="s">
        <v>4574</v>
      </c>
      <c r="BN325" t="s">
        <v>74</v>
      </c>
      <c r="BO325" t="s">
        <v>74</v>
      </c>
      <c r="BP325" t="s">
        <v>74</v>
      </c>
      <c r="BQ325" t="s">
        <v>74</v>
      </c>
      <c r="BR325" t="s">
        <v>98</v>
      </c>
      <c r="BS325" t="s">
        <v>4575</v>
      </c>
      <c r="BT325" t="str">
        <f>HYPERLINK("https%3A%2F%2Fwww.webofscience.com%2Fwos%2Fwoscc%2Ffull-record%2FWOS:000186678300007","View Full Record in Web of Science")</f>
        <v>View Full Record in Web of Science</v>
      </c>
    </row>
    <row r="326" spans="1:72" x14ac:dyDescent="0.15">
      <c r="A326" t="s">
        <v>552</v>
      </c>
      <c r="B326" t="s">
        <v>4576</v>
      </c>
      <c r="C326" t="s">
        <v>74</v>
      </c>
      <c r="D326" t="s">
        <v>74</v>
      </c>
      <c r="E326" t="s">
        <v>74</v>
      </c>
      <c r="F326" t="s">
        <v>4576</v>
      </c>
      <c r="G326" t="s">
        <v>74</v>
      </c>
      <c r="H326" t="s">
        <v>74</v>
      </c>
      <c r="I326" t="s">
        <v>4577</v>
      </c>
      <c r="J326" t="s">
        <v>4557</v>
      </c>
      <c r="K326" t="s">
        <v>74</v>
      </c>
      <c r="L326" t="s">
        <v>74</v>
      </c>
      <c r="M326" t="s">
        <v>78</v>
      </c>
      <c r="N326" t="s">
        <v>1114</v>
      </c>
      <c r="O326" t="s">
        <v>74</v>
      </c>
      <c r="P326" t="s">
        <v>74</v>
      </c>
      <c r="Q326" t="s">
        <v>74</v>
      </c>
      <c r="R326" t="s">
        <v>74</v>
      </c>
      <c r="S326" t="s">
        <v>74</v>
      </c>
      <c r="T326" t="s">
        <v>74</v>
      </c>
      <c r="U326" t="s">
        <v>4578</v>
      </c>
      <c r="V326" t="s">
        <v>4579</v>
      </c>
      <c r="W326" t="s">
        <v>4580</v>
      </c>
      <c r="X326" t="s">
        <v>4581</v>
      </c>
      <c r="Y326" t="s">
        <v>4582</v>
      </c>
      <c r="Z326" t="s">
        <v>4583</v>
      </c>
      <c r="AA326" t="s">
        <v>74</v>
      </c>
      <c r="AB326" t="s">
        <v>74</v>
      </c>
      <c r="AC326" t="s">
        <v>74</v>
      </c>
      <c r="AD326" t="s">
        <v>74</v>
      </c>
      <c r="AE326" t="s">
        <v>74</v>
      </c>
      <c r="AF326" t="s">
        <v>74</v>
      </c>
      <c r="AG326">
        <v>63</v>
      </c>
      <c r="AH326">
        <v>17</v>
      </c>
      <c r="AI326">
        <v>17</v>
      </c>
      <c r="AJ326">
        <v>0</v>
      </c>
      <c r="AK326">
        <v>4</v>
      </c>
      <c r="AL326" t="s">
        <v>806</v>
      </c>
      <c r="AM326" t="s">
        <v>807</v>
      </c>
      <c r="AN326" t="s">
        <v>808</v>
      </c>
      <c r="AO326" t="s">
        <v>4569</v>
      </c>
      <c r="AP326" t="s">
        <v>74</v>
      </c>
      <c r="AQ326" t="s">
        <v>74</v>
      </c>
      <c r="AR326" t="s">
        <v>4570</v>
      </c>
      <c r="AS326" t="s">
        <v>4571</v>
      </c>
      <c r="AT326" t="s">
        <v>74</v>
      </c>
      <c r="AU326">
        <v>2003</v>
      </c>
      <c r="AV326">
        <v>56</v>
      </c>
      <c r="AW326">
        <v>2</v>
      </c>
      <c r="AX326" t="s">
        <v>74</v>
      </c>
      <c r="AY326" t="s">
        <v>74</v>
      </c>
      <c r="AZ326" t="s">
        <v>74</v>
      </c>
      <c r="BA326" t="s">
        <v>74</v>
      </c>
      <c r="BB326">
        <v>223</v>
      </c>
      <c r="BC326">
        <v>247</v>
      </c>
      <c r="BD326" t="s">
        <v>74</v>
      </c>
      <c r="BE326" t="s">
        <v>4584</v>
      </c>
      <c r="BF326" t="str">
        <f>HYPERLINK("http://dx.doi.org/10.1016/S0079-6611(03)00005-3","http://dx.doi.org/10.1016/S0079-6611(03)00005-3")</f>
        <v>http://dx.doi.org/10.1016/S0079-6611(03)00005-3</v>
      </c>
      <c r="BG326" t="s">
        <v>74</v>
      </c>
      <c r="BH326" t="s">
        <v>74</v>
      </c>
      <c r="BI326">
        <v>25</v>
      </c>
      <c r="BJ326" t="s">
        <v>1394</v>
      </c>
      <c r="BK326" t="s">
        <v>569</v>
      </c>
      <c r="BL326" t="s">
        <v>1394</v>
      </c>
      <c r="BM326" t="s">
        <v>4585</v>
      </c>
      <c r="BN326" t="s">
        <v>74</v>
      </c>
      <c r="BO326" t="s">
        <v>74</v>
      </c>
      <c r="BP326" t="s">
        <v>74</v>
      </c>
      <c r="BQ326" t="s">
        <v>74</v>
      </c>
      <c r="BR326" t="s">
        <v>98</v>
      </c>
      <c r="BS326" t="s">
        <v>4586</v>
      </c>
      <c r="BT326" t="str">
        <f>HYPERLINK("https%3A%2F%2Fwww.webofscience.com%2Fwos%2Fwoscc%2Ffull-record%2FWOS:000182759900002","View Full Record in Web of Science")</f>
        <v>View Full Record in Web of Science</v>
      </c>
    </row>
    <row r="327" spans="1:72" x14ac:dyDescent="0.15">
      <c r="A327" t="s">
        <v>552</v>
      </c>
      <c r="B327" t="s">
        <v>4587</v>
      </c>
      <c r="C327" t="s">
        <v>74</v>
      </c>
      <c r="D327" t="s">
        <v>74</v>
      </c>
      <c r="E327" t="s">
        <v>74</v>
      </c>
      <c r="F327" t="s">
        <v>4587</v>
      </c>
      <c r="G327" t="s">
        <v>74</v>
      </c>
      <c r="H327" t="s">
        <v>74</v>
      </c>
      <c r="I327" t="s">
        <v>4588</v>
      </c>
      <c r="J327" t="s">
        <v>4557</v>
      </c>
      <c r="K327" t="s">
        <v>74</v>
      </c>
      <c r="L327" t="s">
        <v>74</v>
      </c>
      <c r="M327" t="s">
        <v>78</v>
      </c>
      <c r="N327" t="s">
        <v>1114</v>
      </c>
      <c r="O327" t="s">
        <v>74</v>
      </c>
      <c r="P327" t="s">
        <v>74</v>
      </c>
      <c r="Q327" t="s">
        <v>74</v>
      </c>
      <c r="R327" t="s">
        <v>74</v>
      </c>
      <c r="S327" t="s">
        <v>74</v>
      </c>
      <c r="T327" t="s">
        <v>74</v>
      </c>
      <c r="U327" t="s">
        <v>4589</v>
      </c>
      <c r="V327" t="s">
        <v>4590</v>
      </c>
      <c r="W327" t="s">
        <v>4591</v>
      </c>
      <c r="X327" t="s">
        <v>4592</v>
      </c>
      <c r="Y327" t="s">
        <v>4593</v>
      </c>
      <c r="Z327" t="s">
        <v>4594</v>
      </c>
      <c r="AA327" t="s">
        <v>74</v>
      </c>
      <c r="AB327" t="s">
        <v>74</v>
      </c>
      <c r="AC327" t="s">
        <v>74</v>
      </c>
      <c r="AD327" t="s">
        <v>74</v>
      </c>
      <c r="AE327" t="s">
        <v>74</v>
      </c>
      <c r="AF327" t="s">
        <v>74</v>
      </c>
      <c r="AG327">
        <v>151</v>
      </c>
      <c r="AH327">
        <v>73</v>
      </c>
      <c r="AI327">
        <v>82</v>
      </c>
      <c r="AJ327">
        <v>1</v>
      </c>
      <c r="AK327">
        <v>19</v>
      </c>
      <c r="AL327" t="s">
        <v>806</v>
      </c>
      <c r="AM327" t="s">
        <v>807</v>
      </c>
      <c r="AN327" t="s">
        <v>808</v>
      </c>
      <c r="AO327" t="s">
        <v>4569</v>
      </c>
      <c r="AP327" t="s">
        <v>74</v>
      </c>
      <c r="AQ327" t="s">
        <v>74</v>
      </c>
      <c r="AR327" t="s">
        <v>4570</v>
      </c>
      <c r="AS327" t="s">
        <v>4571</v>
      </c>
      <c r="AT327" t="s">
        <v>74</v>
      </c>
      <c r="AU327">
        <v>2003</v>
      </c>
      <c r="AV327">
        <v>56</v>
      </c>
      <c r="AW327" t="s">
        <v>1424</v>
      </c>
      <c r="AX327" t="s">
        <v>74</v>
      </c>
      <c r="AY327" t="s">
        <v>74</v>
      </c>
      <c r="AZ327" t="s">
        <v>74</v>
      </c>
      <c r="BA327" t="s">
        <v>74</v>
      </c>
      <c r="BB327">
        <v>499</v>
      </c>
      <c r="BC327">
        <v>527</v>
      </c>
      <c r="BD327" t="s">
        <v>74</v>
      </c>
      <c r="BE327" t="s">
        <v>4595</v>
      </c>
      <c r="BF327" t="str">
        <f>HYPERLINK("http://dx.doi.org/10.1016/S0079-6611(03)00028-4","http://dx.doi.org/10.1016/S0079-6611(03)00028-4")</f>
        <v>http://dx.doi.org/10.1016/S0079-6611(03)00028-4</v>
      </c>
      <c r="BG327" t="s">
        <v>74</v>
      </c>
      <c r="BH327" t="s">
        <v>74</v>
      </c>
      <c r="BI327">
        <v>29</v>
      </c>
      <c r="BJ327" t="s">
        <v>1394</v>
      </c>
      <c r="BK327" t="s">
        <v>569</v>
      </c>
      <c r="BL327" t="s">
        <v>1394</v>
      </c>
      <c r="BM327" t="s">
        <v>4596</v>
      </c>
      <c r="BN327" t="s">
        <v>74</v>
      </c>
      <c r="BO327" t="s">
        <v>74</v>
      </c>
      <c r="BP327" t="s">
        <v>74</v>
      </c>
      <c r="BQ327" t="s">
        <v>74</v>
      </c>
      <c r="BR327" t="s">
        <v>98</v>
      </c>
      <c r="BS327" t="s">
        <v>4597</v>
      </c>
      <c r="BT327" t="str">
        <f>HYPERLINK("https%3A%2F%2Fwww.webofscience.com%2Fwos%2Fwoscc%2Ffull-record%2FWOS:000183345000007","View Full Record in Web of Science")</f>
        <v>View Full Record in Web of Science</v>
      </c>
    </row>
    <row r="328" spans="1:72" x14ac:dyDescent="0.15">
      <c r="A328" t="s">
        <v>552</v>
      </c>
      <c r="B328" t="s">
        <v>4598</v>
      </c>
      <c r="C328" t="s">
        <v>74</v>
      </c>
      <c r="D328" t="s">
        <v>74</v>
      </c>
      <c r="E328" t="s">
        <v>74</v>
      </c>
      <c r="F328" t="s">
        <v>4598</v>
      </c>
      <c r="G328" t="s">
        <v>74</v>
      </c>
      <c r="H328" t="s">
        <v>74</v>
      </c>
      <c r="I328" t="s">
        <v>4599</v>
      </c>
      <c r="J328" t="s">
        <v>4600</v>
      </c>
      <c r="K328" t="s">
        <v>74</v>
      </c>
      <c r="L328" t="s">
        <v>74</v>
      </c>
      <c r="M328" t="s">
        <v>78</v>
      </c>
      <c r="N328" t="s">
        <v>775</v>
      </c>
      <c r="O328" t="s">
        <v>74</v>
      </c>
      <c r="P328" t="s">
        <v>74</v>
      </c>
      <c r="Q328" t="s">
        <v>74</v>
      </c>
      <c r="R328" t="s">
        <v>74</v>
      </c>
      <c r="S328" t="s">
        <v>74</v>
      </c>
      <c r="T328" t="s">
        <v>4601</v>
      </c>
      <c r="U328" t="s">
        <v>4602</v>
      </c>
      <c r="V328" t="s">
        <v>4603</v>
      </c>
      <c r="W328" t="s">
        <v>4604</v>
      </c>
      <c r="X328" t="s">
        <v>4605</v>
      </c>
      <c r="Y328" t="s">
        <v>4606</v>
      </c>
      <c r="Z328" t="s">
        <v>74</v>
      </c>
      <c r="AA328" t="s">
        <v>4607</v>
      </c>
      <c r="AB328" t="s">
        <v>4608</v>
      </c>
      <c r="AC328" t="s">
        <v>74</v>
      </c>
      <c r="AD328" t="s">
        <v>74</v>
      </c>
      <c r="AE328" t="s">
        <v>74</v>
      </c>
      <c r="AF328" t="s">
        <v>74</v>
      </c>
      <c r="AG328">
        <v>33</v>
      </c>
      <c r="AH328">
        <v>3</v>
      </c>
      <c r="AI328">
        <v>3</v>
      </c>
      <c r="AJ328">
        <v>0</v>
      </c>
      <c r="AK328">
        <v>0</v>
      </c>
      <c r="AL328" t="s">
        <v>4609</v>
      </c>
      <c r="AM328" t="s">
        <v>4610</v>
      </c>
      <c r="AN328" t="s">
        <v>4611</v>
      </c>
      <c r="AO328" t="s">
        <v>4612</v>
      </c>
      <c r="AP328" t="s">
        <v>4613</v>
      </c>
      <c r="AQ328" t="s">
        <v>74</v>
      </c>
      <c r="AR328" t="s">
        <v>4600</v>
      </c>
      <c r="AS328" t="s">
        <v>4614</v>
      </c>
      <c r="AT328" t="s">
        <v>74</v>
      </c>
      <c r="AU328">
        <v>2003</v>
      </c>
      <c r="AV328">
        <v>220</v>
      </c>
      <c r="AW328" t="s">
        <v>1424</v>
      </c>
      <c r="AX328" t="s">
        <v>74</v>
      </c>
      <c r="AY328" t="s">
        <v>74</v>
      </c>
      <c r="AZ328" t="s">
        <v>74</v>
      </c>
      <c r="BA328" t="s">
        <v>74</v>
      </c>
      <c r="BB328">
        <v>227</v>
      </c>
      <c r="BC328">
        <v>232</v>
      </c>
      <c r="BD328" t="s">
        <v>74</v>
      </c>
      <c r="BE328" t="s">
        <v>4615</v>
      </c>
      <c r="BF328" t="str">
        <f>HYPERLINK("http://dx.doi.org/10.1007/s00709-002-0048-1","http://dx.doi.org/10.1007/s00709-002-0048-1")</f>
        <v>http://dx.doi.org/10.1007/s00709-002-0048-1</v>
      </c>
      <c r="BG328" t="s">
        <v>74</v>
      </c>
      <c r="BH328" t="s">
        <v>74</v>
      </c>
      <c r="BI328">
        <v>6</v>
      </c>
      <c r="BJ328" t="s">
        <v>4616</v>
      </c>
      <c r="BK328" t="s">
        <v>569</v>
      </c>
      <c r="BL328" t="s">
        <v>4616</v>
      </c>
      <c r="BM328" t="s">
        <v>4617</v>
      </c>
      <c r="BN328">
        <v>12664287</v>
      </c>
      <c r="BO328" t="s">
        <v>74</v>
      </c>
      <c r="BP328" t="s">
        <v>74</v>
      </c>
      <c r="BQ328" t="s">
        <v>74</v>
      </c>
      <c r="BR328" t="s">
        <v>98</v>
      </c>
      <c r="BS328" t="s">
        <v>4618</v>
      </c>
      <c r="BT328" t="str">
        <f>HYPERLINK("https%3A%2F%2Fwww.webofscience.com%2Fwos%2Fwoscc%2Ffull-record%2FWOS:000182040800013","View Full Record in Web of Science")</f>
        <v>View Full Record in Web of Science</v>
      </c>
    </row>
    <row r="329" spans="1:72" x14ac:dyDescent="0.15">
      <c r="A329" t="s">
        <v>552</v>
      </c>
      <c r="B329" t="s">
        <v>4619</v>
      </c>
      <c r="C329" t="s">
        <v>74</v>
      </c>
      <c r="D329" t="s">
        <v>74</v>
      </c>
      <c r="E329" t="s">
        <v>74</v>
      </c>
      <c r="F329" t="s">
        <v>4619</v>
      </c>
      <c r="G329" t="s">
        <v>74</v>
      </c>
      <c r="H329" t="s">
        <v>74</v>
      </c>
      <c r="I329" t="s">
        <v>4620</v>
      </c>
      <c r="J329" t="s">
        <v>4621</v>
      </c>
      <c r="K329" t="s">
        <v>74</v>
      </c>
      <c r="L329" t="s">
        <v>74</v>
      </c>
      <c r="M329" t="s">
        <v>78</v>
      </c>
      <c r="N329" t="s">
        <v>775</v>
      </c>
      <c r="O329" t="s">
        <v>74</v>
      </c>
      <c r="P329" t="s">
        <v>74</v>
      </c>
      <c r="Q329" t="s">
        <v>74</v>
      </c>
      <c r="R329" t="s">
        <v>74</v>
      </c>
      <c r="S329" t="s">
        <v>74</v>
      </c>
      <c r="T329" t="s">
        <v>4622</v>
      </c>
      <c r="U329" t="s">
        <v>4623</v>
      </c>
      <c r="V329" t="s">
        <v>4624</v>
      </c>
      <c r="W329" t="s">
        <v>4625</v>
      </c>
      <c r="X329" t="s">
        <v>4626</v>
      </c>
      <c r="Y329" t="s">
        <v>4627</v>
      </c>
      <c r="Z329" t="s">
        <v>74</v>
      </c>
      <c r="AA329" t="s">
        <v>4628</v>
      </c>
      <c r="AB329" t="s">
        <v>74</v>
      </c>
      <c r="AC329" t="s">
        <v>74</v>
      </c>
      <c r="AD329" t="s">
        <v>74</v>
      </c>
      <c r="AE329" t="s">
        <v>74</v>
      </c>
      <c r="AF329" t="s">
        <v>74</v>
      </c>
      <c r="AG329">
        <v>46</v>
      </c>
      <c r="AH329">
        <v>44</v>
      </c>
      <c r="AI329">
        <v>50</v>
      </c>
      <c r="AJ329">
        <v>0</v>
      </c>
      <c r="AK329">
        <v>6</v>
      </c>
      <c r="AL329" t="s">
        <v>4629</v>
      </c>
      <c r="AM329" t="s">
        <v>4630</v>
      </c>
      <c r="AN329" t="s">
        <v>4631</v>
      </c>
      <c r="AO329" t="s">
        <v>4632</v>
      </c>
      <c r="AP329" t="s">
        <v>74</v>
      </c>
      <c r="AQ329" t="s">
        <v>74</v>
      </c>
      <c r="AR329" t="s">
        <v>4633</v>
      </c>
      <c r="AS329" t="s">
        <v>4634</v>
      </c>
      <c r="AT329" t="s">
        <v>566</v>
      </c>
      <c r="AU329">
        <v>2003</v>
      </c>
      <c r="AV329">
        <v>129</v>
      </c>
      <c r="AW329">
        <v>589</v>
      </c>
      <c r="AX329" t="s">
        <v>72</v>
      </c>
      <c r="AY329" t="s">
        <v>74</v>
      </c>
      <c r="AZ329" t="s">
        <v>74</v>
      </c>
      <c r="BA329" t="s">
        <v>74</v>
      </c>
      <c r="BB329">
        <v>947</v>
      </c>
      <c r="BC329">
        <v>966</v>
      </c>
      <c r="BD329" t="s">
        <v>74</v>
      </c>
      <c r="BE329" t="s">
        <v>4635</v>
      </c>
      <c r="BF329" t="str">
        <f>HYPERLINK("http://dx.doi.org/10.1256/qj.02.102","http://dx.doi.org/10.1256/qj.02.102")</f>
        <v>http://dx.doi.org/10.1256/qj.02.102</v>
      </c>
      <c r="BG329" t="s">
        <v>74</v>
      </c>
      <c r="BH329" t="s">
        <v>74</v>
      </c>
      <c r="BI329">
        <v>20</v>
      </c>
      <c r="BJ329" t="s">
        <v>1237</v>
      </c>
      <c r="BK329" t="s">
        <v>569</v>
      </c>
      <c r="BL329" t="s">
        <v>1237</v>
      </c>
      <c r="BM329" t="s">
        <v>4636</v>
      </c>
      <c r="BN329" t="s">
        <v>74</v>
      </c>
      <c r="BO329" t="s">
        <v>74</v>
      </c>
      <c r="BP329" t="s">
        <v>74</v>
      </c>
      <c r="BQ329" t="s">
        <v>74</v>
      </c>
      <c r="BR329" t="s">
        <v>98</v>
      </c>
      <c r="BS329" t="s">
        <v>4637</v>
      </c>
      <c r="BT329" t="str">
        <f>HYPERLINK("https%3A%2F%2Fwww.webofscience.com%2Fwos%2Fwoscc%2Ffull-record%2FWOS:000181916000002","View Full Record in Web of Science")</f>
        <v>View Full Record in Web of Science</v>
      </c>
    </row>
    <row r="330" spans="1:72" x14ac:dyDescent="0.15">
      <c r="A330" t="s">
        <v>552</v>
      </c>
      <c r="B330" t="s">
        <v>4638</v>
      </c>
      <c r="C330" t="s">
        <v>74</v>
      </c>
      <c r="D330" t="s">
        <v>74</v>
      </c>
      <c r="E330" t="s">
        <v>74</v>
      </c>
      <c r="F330" t="s">
        <v>4638</v>
      </c>
      <c r="G330" t="s">
        <v>74</v>
      </c>
      <c r="H330" t="s">
        <v>74</v>
      </c>
      <c r="I330" t="s">
        <v>4639</v>
      </c>
      <c r="J330" t="s">
        <v>4640</v>
      </c>
      <c r="K330" t="s">
        <v>74</v>
      </c>
      <c r="L330" t="s">
        <v>74</v>
      </c>
      <c r="M330" t="s">
        <v>78</v>
      </c>
      <c r="N330" t="s">
        <v>775</v>
      </c>
      <c r="O330" t="s">
        <v>74</v>
      </c>
      <c r="P330" t="s">
        <v>74</v>
      </c>
      <c r="Q330" t="s">
        <v>74</v>
      </c>
      <c r="R330" t="s">
        <v>74</v>
      </c>
      <c r="S330" t="s">
        <v>74</v>
      </c>
      <c r="T330" t="s">
        <v>74</v>
      </c>
      <c r="U330" t="s">
        <v>4641</v>
      </c>
      <c r="V330" t="s">
        <v>4642</v>
      </c>
      <c r="W330" t="s">
        <v>4643</v>
      </c>
      <c r="X330" t="s">
        <v>4644</v>
      </c>
      <c r="Y330" t="s">
        <v>4645</v>
      </c>
      <c r="Z330" t="s">
        <v>74</v>
      </c>
      <c r="AA330" t="s">
        <v>4646</v>
      </c>
      <c r="AB330" t="s">
        <v>4647</v>
      </c>
      <c r="AC330" t="s">
        <v>4648</v>
      </c>
      <c r="AD330" t="s">
        <v>2341</v>
      </c>
      <c r="AE330" t="s">
        <v>74</v>
      </c>
      <c r="AF330" t="s">
        <v>74</v>
      </c>
      <c r="AG330">
        <v>20</v>
      </c>
      <c r="AH330">
        <v>28</v>
      </c>
      <c r="AI330">
        <v>32</v>
      </c>
      <c r="AJ330">
        <v>1</v>
      </c>
      <c r="AK330">
        <v>6</v>
      </c>
      <c r="AL330" t="s">
        <v>4649</v>
      </c>
      <c r="AM330" t="s">
        <v>2542</v>
      </c>
      <c r="AN330" t="s">
        <v>4650</v>
      </c>
      <c r="AO330" t="s">
        <v>4651</v>
      </c>
      <c r="AP330" t="s">
        <v>74</v>
      </c>
      <c r="AQ330" t="s">
        <v>74</v>
      </c>
      <c r="AR330" t="s">
        <v>4652</v>
      </c>
      <c r="AS330" t="s">
        <v>4653</v>
      </c>
      <c r="AT330" t="s">
        <v>566</v>
      </c>
      <c r="AU330">
        <v>2003</v>
      </c>
      <c r="AV330">
        <v>59</v>
      </c>
      <c r="AW330">
        <v>1</v>
      </c>
      <c r="AX330" t="s">
        <v>74</v>
      </c>
      <c r="AY330" t="s">
        <v>74</v>
      </c>
      <c r="AZ330" t="s">
        <v>74</v>
      </c>
      <c r="BA330" t="s">
        <v>74</v>
      </c>
      <c r="BB330">
        <v>114</v>
      </c>
      <c r="BC330">
        <v>121</v>
      </c>
      <c r="BD330" t="s">
        <v>74</v>
      </c>
      <c r="BE330" t="s">
        <v>4654</v>
      </c>
      <c r="BF330" t="str">
        <f>HYPERLINK("http://dx.doi.org/10.1016/S0033-5894(02)00014-5","http://dx.doi.org/10.1016/S0033-5894(02)00014-5")</f>
        <v>http://dx.doi.org/10.1016/S0033-5894(02)00014-5</v>
      </c>
      <c r="BG330" t="s">
        <v>74</v>
      </c>
      <c r="BH330" t="s">
        <v>74</v>
      </c>
      <c r="BI330">
        <v>8</v>
      </c>
      <c r="BJ330" t="s">
        <v>2348</v>
      </c>
      <c r="BK330" t="s">
        <v>569</v>
      </c>
      <c r="BL330" t="s">
        <v>2349</v>
      </c>
      <c r="BM330" t="s">
        <v>4655</v>
      </c>
      <c r="BN330" t="s">
        <v>74</v>
      </c>
      <c r="BO330" t="s">
        <v>74</v>
      </c>
      <c r="BP330" t="s">
        <v>74</v>
      </c>
      <c r="BQ330" t="s">
        <v>74</v>
      </c>
      <c r="BR330" t="s">
        <v>98</v>
      </c>
      <c r="BS330" t="s">
        <v>4656</v>
      </c>
      <c r="BT330" t="str">
        <f>HYPERLINK("https%3A%2F%2Fwww.webofscience.com%2Fwos%2Fwoscc%2Ffull-record%2FWOS:000181407900013","View Full Record in Web of Science")</f>
        <v>View Full Record in Web of Science</v>
      </c>
    </row>
    <row r="331" spans="1:72" x14ac:dyDescent="0.15">
      <c r="A331" t="s">
        <v>552</v>
      </c>
      <c r="B331" t="s">
        <v>4657</v>
      </c>
      <c r="C331" t="s">
        <v>74</v>
      </c>
      <c r="D331" t="s">
        <v>74</v>
      </c>
      <c r="E331" t="s">
        <v>74</v>
      </c>
      <c r="F331" t="s">
        <v>4657</v>
      </c>
      <c r="G331" t="s">
        <v>74</v>
      </c>
      <c r="H331" t="s">
        <v>74</v>
      </c>
      <c r="I331" t="s">
        <v>4658</v>
      </c>
      <c r="J331" t="s">
        <v>4659</v>
      </c>
      <c r="K331" t="s">
        <v>74</v>
      </c>
      <c r="L331" t="s">
        <v>74</v>
      </c>
      <c r="M331" t="s">
        <v>78</v>
      </c>
      <c r="N331" t="s">
        <v>775</v>
      </c>
      <c r="O331" t="s">
        <v>74</v>
      </c>
      <c r="P331" t="s">
        <v>74</v>
      </c>
      <c r="Q331" t="s">
        <v>74</v>
      </c>
      <c r="R331" t="s">
        <v>74</v>
      </c>
      <c r="S331" t="s">
        <v>74</v>
      </c>
      <c r="T331" t="s">
        <v>74</v>
      </c>
      <c r="U331" t="s">
        <v>4660</v>
      </c>
      <c r="V331" t="s">
        <v>4661</v>
      </c>
      <c r="W331" t="s">
        <v>4662</v>
      </c>
      <c r="X331" t="s">
        <v>4663</v>
      </c>
      <c r="Y331" t="s">
        <v>4664</v>
      </c>
      <c r="Z331" t="s">
        <v>74</v>
      </c>
      <c r="AA331" t="s">
        <v>4665</v>
      </c>
      <c r="AB331" t="s">
        <v>4666</v>
      </c>
      <c r="AC331" t="s">
        <v>74</v>
      </c>
      <c r="AD331" t="s">
        <v>74</v>
      </c>
      <c r="AE331" t="s">
        <v>74</v>
      </c>
      <c r="AF331" t="s">
        <v>74</v>
      </c>
      <c r="AG331">
        <v>29</v>
      </c>
      <c r="AH331">
        <v>47</v>
      </c>
      <c r="AI331">
        <v>55</v>
      </c>
      <c r="AJ331">
        <v>0</v>
      </c>
      <c r="AK331">
        <v>9</v>
      </c>
      <c r="AL331" t="s">
        <v>4667</v>
      </c>
      <c r="AM331" t="s">
        <v>4668</v>
      </c>
      <c r="AN331" t="s">
        <v>4669</v>
      </c>
      <c r="AO331" t="s">
        <v>4670</v>
      </c>
      <c r="AP331" t="s">
        <v>74</v>
      </c>
      <c r="AQ331" t="s">
        <v>74</v>
      </c>
      <c r="AR331" t="s">
        <v>4659</v>
      </c>
      <c r="AS331" t="s">
        <v>4671</v>
      </c>
      <c r="AT331" t="s">
        <v>74</v>
      </c>
      <c r="AU331">
        <v>2003</v>
      </c>
      <c r="AV331">
        <v>45</v>
      </c>
      <c r="AW331">
        <v>1</v>
      </c>
      <c r="AX331" t="s">
        <v>74</v>
      </c>
      <c r="AY331" t="s">
        <v>74</v>
      </c>
      <c r="AZ331" t="s">
        <v>74</v>
      </c>
      <c r="BA331" t="s">
        <v>74</v>
      </c>
      <c r="BB331">
        <v>17</v>
      </c>
      <c r="BC331">
        <v>24</v>
      </c>
      <c r="BD331" t="s">
        <v>74</v>
      </c>
      <c r="BE331" t="s">
        <v>4672</v>
      </c>
      <c r="BF331" t="str">
        <f>HYPERLINK("http://dx.doi.org/10.1017/S0033822200032355","http://dx.doi.org/10.1017/S0033822200032355")</f>
        <v>http://dx.doi.org/10.1017/S0033822200032355</v>
      </c>
      <c r="BG331" t="s">
        <v>74</v>
      </c>
      <c r="BH331" t="s">
        <v>74</v>
      </c>
      <c r="BI331">
        <v>8</v>
      </c>
      <c r="BJ331" t="s">
        <v>2068</v>
      </c>
      <c r="BK331" t="s">
        <v>569</v>
      </c>
      <c r="BL331" t="s">
        <v>2068</v>
      </c>
      <c r="BM331" t="s">
        <v>4673</v>
      </c>
      <c r="BN331" t="s">
        <v>74</v>
      </c>
      <c r="BO331" t="s">
        <v>572</v>
      </c>
      <c r="BP331" t="s">
        <v>74</v>
      </c>
      <c r="BQ331" t="s">
        <v>74</v>
      </c>
      <c r="BR331" t="s">
        <v>98</v>
      </c>
      <c r="BS331" t="s">
        <v>4674</v>
      </c>
      <c r="BT331" t="str">
        <f>HYPERLINK("https%3A%2F%2Fwww.webofscience.com%2Fwos%2Fwoscc%2Ffull-record%2FWOS:000186131000003","View Full Record in Web of Science")</f>
        <v>View Full Record in Web of Science</v>
      </c>
    </row>
    <row r="332" spans="1:72" x14ac:dyDescent="0.15">
      <c r="A332" t="s">
        <v>552</v>
      </c>
      <c r="B332" t="s">
        <v>4675</v>
      </c>
      <c r="C332" t="s">
        <v>74</v>
      </c>
      <c r="D332" t="s">
        <v>74</v>
      </c>
      <c r="E332" t="s">
        <v>74</v>
      </c>
      <c r="F332" t="s">
        <v>4675</v>
      </c>
      <c r="G332" t="s">
        <v>74</v>
      </c>
      <c r="H332" t="s">
        <v>74</v>
      </c>
      <c r="I332" t="s">
        <v>4676</v>
      </c>
      <c r="J332" t="s">
        <v>4677</v>
      </c>
      <c r="K332" t="s">
        <v>74</v>
      </c>
      <c r="L332" t="s">
        <v>74</v>
      </c>
      <c r="M332" t="s">
        <v>78</v>
      </c>
      <c r="N332" t="s">
        <v>1987</v>
      </c>
      <c r="O332" t="s">
        <v>74</v>
      </c>
      <c r="P332" t="s">
        <v>74</v>
      </c>
      <c r="Q332" t="s">
        <v>74</v>
      </c>
      <c r="R332" t="s">
        <v>74</v>
      </c>
      <c r="S332" t="s">
        <v>74</v>
      </c>
      <c r="T332" t="s">
        <v>74</v>
      </c>
      <c r="U332" t="s">
        <v>4678</v>
      </c>
      <c r="V332" t="s">
        <v>74</v>
      </c>
      <c r="W332" t="s">
        <v>4679</v>
      </c>
      <c r="X332" t="s">
        <v>1164</v>
      </c>
      <c r="Y332" t="s">
        <v>1165</v>
      </c>
      <c r="Z332" t="s">
        <v>74</v>
      </c>
      <c r="AA332" t="s">
        <v>74</v>
      </c>
      <c r="AB332" t="s">
        <v>1166</v>
      </c>
      <c r="AC332" t="s">
        <v>74</v>
      </c>
      <c r="AD332" t="s">
        <v>74</v>
      </c>
      <c r="AE332" t="s">
        <v>74</v>
      </c>
      <c r="AF332" t="s">
        <v>74</v>
      </c>
      <c r="AG332">
        <v>27</v>
      </c>
      <c r="AH332">
        <v>7</v>
      </c>
      <c r="AI332">
        <v>8</v>
      </c>
      <c r="AJ332">
        <v>0</v>
      </c>
      <c r="AK332">
        <v>2</v>
      </c>
      <c r="AL332" t="s">
        <v>2990</v>
      </c>
      <c r="AM332" t="s">
        <v>4680</v>
      </c>
      <c r="AN332" t="s">
        <v>4681</v>
      </c>
      <c r="AO332" t="s">
        <v>4682</v>
      </c>
      <c r="AP332" t="s">
        <v>74</v>
      </c>
      <c r="AQ332" t="s">
        <v>74</v>
      </c>
      <c r="AR332" t="s">
        <v>4683</v>
      </c>
      <c r="AS332" t="s">
        <v>4684</v>
      </c>
      <c r="AT332" t="s">
        <v>74</v>
      </c>
      <c r="AU332">
        <v>2003</v>
      </c>
      <c r="AV332">
        <v>17</v>
      </c>
      <c r="AW332">
        <v>21</v>
      </c>
      <c r="AX332" t="s">
        <v>74</v>
      </c>
      <c r="AY332" t="s">
        <v>74</v>
      </c>
      <c r="AZ332" t="s">
        <v>74</v>
      </c>
      <c r="BA332" t="s">
        <v>74</v>
      </c>
      <c r="BB332">
        <v>2455</v>
      </c>
      <c r="BC332">
        <v>2458</v>
      </c>
      <c r="BD332" t="s">
        <v>74</v>
      </c>
      <c r="BE332" t="s">
        <v>4685</v>
      </c>
      <c r="BF332" t="str">
        <f>HYPERLINK("http://dx.doi.org/10.1002/rcm.1205","http://dx.doi.org/10.1002/rcm.1205")</f>
        <v>http://dx.doi.org/10.1002/rcm.1205</v>
      </c>
      <c r="BG332" t="s">
        <v>74</v>
      </c>
      <c r="BH332" t="s">
        <v>74</v>
      </c>
      <c r="BI332">
        <v>4</v>
      </c>
      <c r="BJ332" t="s">
        <v>4686</v>
      </c>
      <c r="BK332" t="s">
        <v>569</v>
      </c>
      <c r="BL332" t="s">
        <v>4687</v>
      </c>
      <c r="BM332" t="s">
        <v>4688</v>
      </c>
      <c r="BN332">
        <v>14587093</v>
      </c>
      <c r="BO332" t="s">
        <v>74</v>
      </c>
      <c r="BP332" t="s">
        <v>74</v>
      </c>
      <c r="BQ332" t="s">
        <v>74</v>
      </c>
      <c r="BR332" t="s">
        <v>98</v>
      </c>
      <c r="BS332" t="s">
        <v>4689</v>
      </c>
      <c r="BT332" t="str">
        <f>HYPERLINK("https%3A%2F%2Fwww.webofscience.com%2Fwos%2Fwoscc%2Ffull-record%2FWOS:000186320500012","View Full Record in Web of Science")</f>
        <v>View Full Record in Web of Science</v>
      </c>
    </row>
    <row r="333" spans="1:72" x14ac:dyDescent="0.15">
      <c r="A333" t="s">
        <v>72</v>
      </c>
      <c r="B333" t="s">
        <v>4690</v>
      </c>
      <c r="C333" t="s">
        <v>74</v>
      </c>
      <c r="D333" t="s">
        <v>4691</v>
      </c>
      <c r="E333" t="s">
        <v>74</v>
      </c>
      <c r="F333" t="s">
        <v>4690</v>
      </c>
      <c r="G333" t="s">
        <v>74</v>
      </c>
      <c r="H333" t="s">
        <v>74</v>
      </c>
      <c r="I333" t="s">
        <v>4692</v>
      </c>
      <c r="J333" t="s">
        <v>4693</v>
      </c>
      <c r="K333" t="s">
        <v>1827</v>
      </c>
      <c r="L333" t="s">
        <v>74</v>
      </c>
      <c r="M333" t="s">
        <v>78</v>
      </c>
      <c r="N333" t="s">
        <v>79</v>
      </c>
      <c r="O333" t="s">
        <v>4694</v>
      </c>
      <c r="P333" t="s">
        <v>4695</v>
      </c>
      <c r="Q333" t="s">
        <v>4696</v>
      </c>
      <c r="R333" t="s">
        <v>74</v>
      </c>
      <c r="S333" t="s">
        <v>74</v>
      </c>
      <c r="T333" t="s">
        <v>4697</v>
      </c>
      <c r="U333" t="s">
        <v>4698</v>
      </c>
      <c r="V333" t="s">
        <v>4699</v>
      </c>
      <c r="W333" t="s">
        <v>4700</v>
      </c>
      <c r="X333" t="s">
        <v>4701</v>
      </c>
      <c r="Y333" t="s">
        <v>4702</v>
      </c>
      <c r="Z333" t="s">
        <v>74</v>
      </c>
      <c r="AA333" t="s">
        <v>4703</v>
      </c>
      <c r="AB333" t="s">
        <v>4704</v>
      </c>
      <c r="AC333" t="s">
        <v>74</v>
      </c>
      <c r="AD333" t="s">
        <v>74</v>
      </c>
      <c r="AE333" t="s">
        <v>74</v>
      </c>
      <c r="AF333" t="s">
        <v>74</v>
      </c>
      <c r="AG333">
        <v>22</v>
      </c>
      <c r="AH333">
        <v>1</v>
      </c>
      <c r="AI333">
        <v>1</v>
      </c>
      <c r="AJ333">
        <v>0</v>
      </c>
      <c r="AK333">
        <v>1</v>
      </c>
      <c r="AL333" t="s">
        <v>1838</v>
      </c>
      <c r="AM333" t="s">
        <v>1839</v>
      </c>
      <c r="AN333" t="s">
        <v>1840</v>
      </c>
      <c r="AO333" t="s">
        <v>1841</v>
      </c>
      <c r="AP333" t="s">
        <v>74</v>
      </c>
      <c r="AQ333" t="s">
        <v>4705</v>
      </c>
      <c r="AR333" t="s">
        <v>1843</v>
      </c>
      <c r="AS333" t="s">
        <v>74</v>
      </c>
      <c r="AT333" t="s">
        <v>74</v>
      </c>
      <c r="AU333">
        <v>2003</v>
      </c>
      <c r="AV333">
        <v>4882</v>
      </c>
      <c r="AW333" t="s">
        <v>74</v>
      </c>
      <c r="AX333" t="s">
        <v>74</v>
      </c>
      <c r="AY333" t="s">
        <v>74</v>
      </c>
      <c r="AZ333" t="s">
        <v>74</v>
      </c>
      <c r="BA333" t="s">
        <v>74</v>
      </c>
      <c r="BB333">
        <v>304</v>
      </c>
      <c r="BC333">
        <v>313</v>
      </c>
      <c r="BD333" t="s">
        <v>74</v>
      </c>
      <c r="BE333" t="s">
        <v>4706</v>
      </c>
      <c r="BF333" t="str">
        <f>HYPERLINK("http://dx.doi.org/10.1117/12.462602","http://dx.doi.org/10.1117/12.462602")</f>
        <v>http://dx.doi.org/10.1117/12.462602</v>
      </c>
      <c r="BG333" t="s">
        <v>74</v>
      </c>
      <c r="BH333" t="s">
        <v>74</v>
      </c>
      <c r="BI333">
        <v>10</v>
      </c>
      <c r="BJ333" t="s">
        <v>4707</v>
      </c>
      <c r="BK333" t="s">
        <v>95</v>
      </c>
      <c r="BL333" t="s">
        <v>4707</v>
      </c>
      <c r="BM333" t="s">
        <v>4708</v>
      </c>
      <c r="BN333" t="s">
        <v>74</v>
      </c>
      <c r="BO333" t="s">
        <v>74</v>
      </c>
      <c r="BP333" t="s">
        <v>74</v>
      </c>
      <c r="BQ333" t="s">
        <v>74</v>
      </c>
      <c r="BR333" t="s">
        <v>98</v>
      </c>
      <c r="BS333" t="s">
        <v>4709</v>
      </c>
      <c r="BT333" t="str">
        <f>HYPERLINK("https%3A%2F%2Fwww.webofscience.com%2Fwos%2Fwoscc%2Ffull-record%2FWOS:000182689200033","View Full Record in Web of Science")</f>
        <v>View Full Record in Web of Science</v>
      </c>
    </row>
    <row r="334" spans="1:72" x14ac:dyDescent="0.15">
      <c r="A334" t="s">
        <v>552</v>
      </c>
      <c r="B334" t="s">
        <v>4710</v>
      </c>
      <c r="C334" t="s">
        <v>74</v>
      </c>
      <c r="D334" t="s">
        <v>74</v>
      </c>
      <c r="E334" t="s">
        <v>74</v>
      </c>
      <c r="F334" t="s">
        <v>4710</v>
      </c>
      <c r="G334" t="s">
        <v>74</v>
      </c>
      <c r="H334" t="s">
        <v>74</v>
      </c>
      <c r="I334" t="s">
        <v>4711</v>
      </c>
      <c r="J334" t="s">
        <v>4712</v>
      </c>
      <c r="K334" t="s">
        <v>74</v>
      </c>
      <c r="L334" t="s">
        <v>74</v>
      </c>
      <c r="M334" t="s">
        <v>78</v>
      </c>
      <c r="N334" t="s">
        <v>775</v>
      </c>
      <c r="O334" t="s">
        <v>74</v>
      </c>
      <c r="P334" t="s">
        <v>74</v>
      </c>
      <c r="Q334" t="s">
        <v>74</v>
      </c>
      <c r="R334" t="s">
        <v>74</v>
      </c>
      <c r="S334" t="s">
        <v>74</v>
      </c>
      <c r="T334" t="s">
        <v>4713</v>
      </c>
      <c r="U334" t="s">
        <v>4714</v>
      </c>
      <c r="V334" t="s">
        <v>4715</v>
      </c>
      <c r="W334" t="s">
        <v>4716</v>
      </c>
      <c r="X334" t="s">
        <v>4717</v>
      </c>
      <c r="Y334" t="s">
        <v>4718</v>
      </c>
      <c r="Z334" t="s">
        <v>74</v>
      </c>
      <c r="AA334" t="s">
        <v>4719</v>
      </c>
      <c r="AB334" t="s">
        <v>4720</v>
      </c>
      <c r="AC334" t="s">
        <v>74</v>
      </c>
      <c r="AD334" t="s">
        <v>74</v>
      </c>
      <c r="AE334" t="s">
        <v>74</v>
      </c>
      <c r="AF334" t="s">
        <v>74</v>
      </c>
      <c r="AG334">
        <v>11</v>
      </c>
      <c r="AH334">
        <v>6</v>
      </c>
      <c r="AI334">
        <v>8</v>
      </c>
      <c r="AJ334">
        <v>1</v>
      </c>
      <c r="AK334">
        <v>8</v>
      </c>
      <c r="AL334" t="s">
        <v>4721</v>
      </c>
      <c r="AM334" t="s">
        <v>4722</v>
      </c>
      <c r="AN334" t="s">
        <v>4723</v>
      </c>
      <c r="AO334" t="s">
        <v>4724</v>
      </c>
      <c r="AP334" t="s">
        <v>74</v>
      </c>
      <c r="AQ334" t="s">
        <v>74</v>
      </c>
      <c r="AR334" t="s">
        <v>4725</v>
      </c>
      <c r="AS334" t="s">
        <v>4726</v>
      </c>
      <c r="AT334" t="s">
        <v>566</v>
      </c>
      <c r="AU334">
        <v>2003</v>
      </c>
      <c r="AV334">
        <v>46</v>
      </c>
      <c r="AW334">
        <v>1</v>
      </c>
      <c r="AX334" t="s">
        <v>74</v>
      </c>
      <c r="AY334" t="s">
        <v>74</v>
      </c>
      <c r="AZ334" t="s">
        <v>74</v>
      </c>
      <c r="BA334" t="s">
        <v>74</v>
      </c>
      <c r="BB334">
        <v>50</v>
      </c>
      <c r="BC334">
        <v>61</v>
      </c>
      <c r="BD334" t="s">
        <v>74</v>
      </c>
      <c r="BE334" t="s">
        <v>4727</v>
      </c>
      <c r="BF334" t="str">
        <f>HYPERLINK("http://dx.doi.org/10.1360/03yd9005","http://dx.doi.org/10.1360/03yd9005")</f>
        <v>http://dx.doi.org/10.1360/03yd9005</v>
      </c>
      <c r="BG334" t="s">
        <v>74</v>
      </c>
      <c r="BH334" t="s">
        <v>74</v>
      </c>
      <c r="BI334">
        <v>12</v>
      </c>
      <c r="BJ334" t="s">
        <v>1813</v>
      </c>
      <c r="BK334" t="s">
        <v>569</v>
      </c>
      <c r="BL334" t="s">
        <v>1814</v>
      </c>
      <c r="BM334" t="s">
        <v>4728</v>
      </c>
      <c r="BN334" t="s">
        <v>74</v>
      </c>
      <c r="BO334" t="s">
        <v>74</v>
      </c>
      <c r="BP334" t="s">
        <v>74</v>
      </c>
      <c r="BQ334" t="s">
        <v>74</v>
      </c>
      <c r="BR334" t="s">
        <v>98</v>
      </c>
      <c r="BS334" t="s">
        <v>4729</v>
      </c>
      <c r="BT334" t="str">
        <f>HYPERLINK("https%3A%2F%2Fwww.webofscience.com%2Fwos%2Fwoscc%2Ffull-record%2FWOS:000181415400005","View Full Record in Web of Science")</f>
        <v>View Full Record in Web of Science</v>
      </c>
    </row>
    <row r="335" spans="1:72" x14ac:dyDescent="0.15">
      <c r="A335" t="s">
        <v>552</v>
      </c>
      <c r="B335" t="s">
        <v>4730</v>
      </c>
      <c r="C335" t="s">
        <v>74</v>
      </c>
      <c r="D335" t="s">
        <v>74</v>
      </c>
      <c r="E335" t="s">
        <v>74</v>
      </c>
      <c r="F335" t="s">
        <v>4730</v>
      </c>
      <c r="G335" t="s">
        <v>74</v>
      </c>
      <c r="H335" t="s">
        <v>74</v>
      </c>
      <c r="I335" t="s">
        <v>4731</v>
      </c>
      <c r="J335" t="s">
        <v>4732</v>
      </c>
      <c r="K335" t="s">
        <v>74</v>
      </c>
      <c r="L335" t="s">
        <v>74</v>
      </c>
      <c r="M335" t="s">
        <v>78</v>
      </c>
      <c r="N335" t="s">
        <v>4733</v>
      </c>
      <c r="O335" t="s">
        <v>74</v>
      </c>
      <c r="P335" t="s">
        <v>74</v>
      </c>
      <c r="Q335" t="s">
        <v>74</v>
      </c>
      <c r="R335" t="s">
        <v>74</v>
      </c>
      <c r="S335" t="s">
        <v>74</v>
      </c>
      <c r="T335" t="s">
        <v>4734</v>
      </c>
      <c r="U335" t="s">
        <v>74</v>
      </c>
      <c r="V335" t="s">
        <v>4735</v>
      </c>
      <c r="W335" t="s">
        <v>4736</v>
      </c>
      <c r="X335" t="s">
        <v>74</v>
      </c>
      <c r="Y335" t="s">
        <v>4737</v>
      </c>
      <c r="Z335" t="s">
        <v>74</v>
      </c>
      <c r="AA335" t="s">
        <v>74</v>
      </c>
      <c r="AB335" t="s">
        <v>74</v>
      </c>
      <c r="AC335" t="s">
        <v>74</v>
      </c>
      <c r="AD335" t="s">
        <v>74</v>
      </c>
      <c r="AE335" t="s">
        <v>74</v>
      </c>
      <c r="AF335" t="s">
        <v>74</v>
      </c>
      <c r="AG335">
        <v>0</v>
      </c>
      <c r="AH335">
        <v>1</v>
      </c>
      <c r="AI335">
        <v>1</v>
      </c>
      <c r="AJ335">
        <v>0</v>
      </c>
      <c r="AK335">
        <v>1</v>
      </c>
      <c r="AL335" t="s">
        <v>4738</v>
      </c>
      <c r="AM335" t="s">
        <v>2061</v>
      </c>
      <c r="AN335" t="s">
        <v>4739</v>
      </c>
      <c r="AO335" t="s">
        <v>4740</v>
      </c>
      <c r="AP335" t="s">
        <v>74</v>
      </c>
      <c r="AQ335" t="s">
        <v>74</v>
      </c>
      <c r="AR335" t="s">
        <v>4741</v>
      </c>
      <c r="AS335" t="s">
        <v>4742</v>
      </c>
      <c r="AT335" t="s">
        <v>74</v>
      </c>
      <c r="AU335">
        <v>2003</v>
      </c>
      <c r="AV335">
        <v>119</v>
      </c>
      <c r="AW335">
        <v>2</v>
      </c>
      <c r="AX335" t="s">
        <v>74</v>
      </c>
      <c r="AY335" t="s">
        <v>74</v>
      </c>
      <c r="AZ335" t="s">
        <v>74</v>
      </c>
      <c r="BA335" t="s">
        <v>74</v>
      </c>
      <c r="BB335">
        <v>121</v>
      </c>
      <c r="BC335">
        <v>151</v>
      </c>
      <c r="BD335" t="s">
        <v>74</v>
      </c>
      <c r="BE335" t="s">
        <v>4743</v>
      </c>
      <c r="BF335" t="str">
        <f>HYPERLINK("http://dx.doi.org/10.1080/00369220318737167","http://dx.doi.org/10.1080/00369220318737167")</f>
        <v>http://dx.doi.org/10.1080/00369220318737167</v>
      </c>
      <c r="BG335" t="s">
        <v>74</v>
      </c>
      <c r="BH335" t="s">
        <v>74</v>
      </c>
      <c r="BI335">
        <v>31</v>
      </c>
      <c r="BJ335" t="s">
        <v>4744</v>
      </c>
      <c r="BK335" t="s">
        <v>4745</v>
      </c>
      <c r="BL335" t="s">
        <v>4744</v>
      </c>
      <c r="BM335" t="s">
        <v>4746</v>
      </c>
      <c r="BN335" t="s">
        <v>74</v>
      </c>
      <c r="BO335" t="s">
        <v>74</v>
      </c>
      <c r="BP335" t="s">
        <v>74</v>
      </c>
      <c r="BQ335" t="s">
        <v>74</v>
      </c>
      <c r="BR335" t="s">
        <v>98</v>
      </c>
      <c r="BS335" t="s">
        <v>4747</v>
      </c>
      <c r="BT335" t="str">
        <f>HYPERLINK("https%3A%2F%2Fwww.webofscience.com%2Fwos%2Fwoscc%2Ffull-record%2FWOS:000186265600003","View Full Record in Web of Science")</f>
        <v>View Full Record in Web of Science</v>
      </c>
    </row>
    <row r="336" spans="1:72" x14ac:dyDescent="0.15">
      <c r="A336" t="s">
        <v>72</v>
      </c>
      <c r="B336" t="s">
        <v>4748</v>
      </c>
      <c r="C336" t="s">
        <v>74</v>
      </c>
      <c r="D336" t="s">
        <v>4749</v>
      </c>
      <c r="E336" t="s">
        <v>74</v>
      </c>
      <c r="F336" t="s">
        <v>4748</v>
      </c>
      <c r="G336" t="s">
        <v>74</v>
      </c>
      <c r="H336" t="s">
        <v>74</v>
      </c>
      <c r="I336" t="s">
        <v>4750</v>
      </c>
      <c r="J336" t="s">
        <v>4751</v>
      </c>
      <c r="K336" t="s">
        <v>4155</v>
      </c>
      <c r="L336" t="s">
        <v>74</v>
      </c>
      <c r="M336" t="s">
        <v>78</v>
      </c>
      <c r="N336" t="s">
        <v>79</v>
      </c>
      <c r="O336" t="s">
        <v>4752</v>
      </c>
      <c r="P336" t="s">
        <v>4753</v>
      </c>
      <c r="Q336" t="s">
        <v>4754</v>
      </c>
      <c r="R336" t="s">
        <v>74</v>
      </c>
      <c r="S336" t="s">
        <v>74</v>
      </c>
      <c r="T336" t="s">
        <v>74</v>
      </c>
      <c r="U336" t="s">
        <v>4755</v>
      </c>
      <c r="V336" t="s">
        <v>4756</v>
      </c>
      <c r="W336" t="s">
        <v>4757</v>
      </c>
      <c r="X336" t="s">
        <v>4758</v>
      </c>
      <c r="Y336" t="s">
        <v>4759</v>
      </c>
      <c r="Z336" t="s">
        <v>74</v>
      </c>
      <c r="AA336" t="s">
        <v>74</v>
      </c>
      <c r="AB336" t="s">
        <v>4760</v>
      </c>
      <c r="AC336" t="s">
        <v>74</v>
      </c>
      <c r="AD336" t="s">
        <v>74</v>
      </c>
      <c r="AE336" t="s">
        <v>74</v>
      </c>
      <c r="AF336" t="s">
        <v>74</v>
      </c>
      <c r="AG336">
        <v>20</v>
      </c>
      <c r="AH336">
        <v>10</v>
      </c>
      <c r="AI336">
        <v>10</v>
      </c>
      <c r="AJ336">
        <v>0</v>
      </c>
      <c r="AK336">
        <v>1</v>
      </c>
      <c r="AL336" t="s">
        <v>1838</v>
      </c>
      <c r="AM336" t="s">
        <v>1839</v>
      </c>
      <c r="AN336" t="s">
        <v>1840</v>
      </c>
      <c r="AO336" t="s">
        <v>1841</v>
      </c>
      <c r="AP336" t="s">
        <v>74</v>
      </c>
      <c r="AQ336" t="s">
        <v>4761</v>
      </c>
      <c r="AR336" t="s">
        <v>4170</v>
      </c>
      <c r="AS336" t="s">
        <v>74</v>
      </c>
      <c r="AT336" t="s">
        <v>74</v>
      </c>
      <c r="AU336">
        <v>2003</v>
      </c>
      <c r="AV336">
        <v>5382</v>
      </c>
      <c r="AW336" t="s">
        <v>74</v>
      </c>
      <c r="AX336" t="s">
        <v>4762</v>
      </c>
      <c r="AY336" t="s">
        <v>74</v>
      </c>
      <c r="AZ336" t="s">
        <v>74</v>
      </c>
      <c r="BA336" t="s">
        <v>74</v>
      </c>
      <c r="BB336">
        <v>76</v>
      </c>
      <c r="BC336">
        <v>84</v>
      </c>
      <c r="BD336" t="s">
        <v>74</v>
      </c>
      <c r="BE336" t="s">
        <v>4763</v>
      </c>
      <c r="BF336" t="str">
        <f>HYPERLINK("http://dx.doi.org/10.1117/12.566107","http://dx.doi.org/10.1117/12.566107")</f>
        <v>http://dx.doi.org/10.1117/12.566107</v>
      </c>
      <c r="BG336" t="s">
        <v>74</v>
      </c>
      <c r="BH336" t="s">
        <v>74</v>
      </c>
      <c r="BI336">
        <v>9</v>
      </c>
      <c r="BJ336" t="s">
        <v>4764</v>
      </c>
      <c r="BK336" t="s">
        <v>95</v>
      </c>
      <c r="BL336" t="s">
        <v>4764</v>
      </c>
      <c r="BM336" t="s">
        <v>4765</v>
      </c>
      <c r="BN336" t="s">
        <v>74</v>
      </c>
      <c r="BO336" t="s">
        <v>74</v>
      </c>
      <c r="BP336" t="s">
        <v>74</v>
      </c>
      <c r="BQ336" t="s">
        <v>74</v>
      </c>
      <c r="BR336" t="s">
        <v>98</v>
      </c>
      <c r="BS336" t="s">
        <v>4766</v>
      </c>
      <c r="BT336" t="str">
        <f>HYPERLINK("https%3A%2F%2Fwww.webofscience.com%2Fwos%2Fwoscc%2Ffull-record%2FWOS:000223325000010","View Full Record in Web of Science")</f>
        <v>View Full Record in Web of Science</v>
      </c>
    </row>
    <row r="337" spans="1:72" x14ac:dyDescent="0.15">
      <c r="A337" t="s">
        <v>72</v>
      </c>
      <c r="B337" t="s">
        <v>4767</v>
      </c>
      <c r="C337" t="s">
        <v>74</v>
      </c>
      <c r="D337" t="s">
        <v>4768</v>
      </c>
      <c r="E337" t="s">
        <v>74</v>
      </c>
      <c r="F337" t="s">
        <v>4767</v>
      </c>
      <c r="G337" t="s">
        <v>74</v>
      </c>
      <c r="H337" t="s">
        <v>74</v>
      </c>
      <c r="I337" t="s">
        <v>4769</v>
      </c>
      <c r="J337" t="s">
        <v>4770</v>
      </c>
      <c r="K337" t="s">
        <v>74</v>
      </c>
      <c r="L337" t="s">
        <v>74</v>
      </c>
      <c r="M337" t="s">
        <v>78</v>
      </c>
      <c r="N337" t="s">
        <v>79</v>
      </c>
      <c r="O337" t="s">
        <v>4771</v>
      </c>
      <c r="P337" t="s">
        <v>4772</v>
      </c>
      <c r="Q337" t="s">
        <v>4773</v>
      </c>
      <c r="R337" t="s">
        <v>74</v>
      </c>
      <c r="S337" t="s">
        <v>74</v>
      </c>
      <c r="T337" t="s">
        <v>74</v>
      </c>
      <c r="U337" t="s">
        <v>74</v>
      </c>
      <c r="V337" t="s">
        <v>4774</v>
      </c>
      <c r="W337" t="s">
        <v>3992</v>
      </c>
      <c r="X337" t="s">
        <v>239</v>
      </c>
      <c r="Y337" t="s">
        <v>4775</v>
      </c>
      <c r="Z337" t="s">
        <v>74</v>
      </c>
      <c r="AA337" t="s">
        <v>74</v>
      </c>
      <c r="AB337" t="s">
        <v>74</v>
      </c>
      <c r="AC337" t="s">
        <v>74</v>
      </c>
      <c r="AD337" t="s">
        <v>74</v>
      </c>
      <c r="AE337" t="s">
        <v>74</v>
      </c>
      <c r="AF337" t="s">
        <v>74</v>
      </c>
      <c r="AG337">
        <v>2</v>
      </c>
      <c r="AH337">
        <v>0</v>
      </c>
      <c r="AI337">
        <v>0</v>
      </c>
      <c r="AJ337">
        <v>0</v>
      </c>
      <c r="AK337">
        <v>0</v>
      </c>
      <c r="AL337" t="s">
        <v>4776</v>
      </c>
      <c r="AM337" t="s">
        <v>91</v>
      </c>
      <c r="AN337" t="s">
        <v>4777</v>
      </c>
      <c r="AO337" t="s">
        <v>74</v>
      </c>
      <c r="AP337" t="s">
        <v>74</v>
      </c>
      <c r="AQ337" t="s">
        <v>74</v>
      </c>
      <c r="AR337" t="s">
        <v>74</v>
      </c>
      <c r="AS337" t="s">
        <v>74</v>
      </c>
      <c r="AT337" t="s">
        <v>74</v>
      </c>
      <c r="AU337">
        <v>2003</v>
      </c>
      <c r="AV337" t="s">
        <v>74</v>
      </c>
      <c r="AW337" t="s">
        <v>74</v>
      </c>
      <c r="AX337" t="s">
        <v>74</v>
      </c>
      <c r="AY337" t="s">
        <v>74</v>
      </c>
      <c r="AZ337" t="s">
        <v>74</v>
      </c>
      <c r="BA337" t="s">
        <v>74</v>
      </c>
      <c r="BB337">
        <v>264</v>
      </c>
      <c r="BC337">
        <v>266</v>
      </c>
      <c r="BD337" t="s">
        <v>74</v>
      </c>
      <c r="BE337" t="s">
        <v>74</v>
      </c>
      <c r="BF337" t="s">
        <v>74</v>
      </c>
      <c r="BG337" t="s">
        <v>74</v>
      </c>
      <c r="BH337" t="s">
        <v>74</v>
      </c>
      <c r="BI337">
        <v>3</v>
      </c>
      <c r="BJ337" t="s">
        <v>4778</v>
      </c>
      <c r="BK337" t="s">
        <v>95</v>
      </c>
      <c r="BL337" t="s">
        <v>4778</v>
      </c>
      <c r="BM337" t="s">
        <v>4779</v>
      </c>
      <c r="BN337" t="s">
        <v>74</v>
      </c>
      <c r="BO337" t="s">
        <v>74</v>
      </c>
      <c r="BP337" t="s">
        <v>74</v>
      </c>
      <c r="BQ337" t="s">
        <v>74</v>
      </c>
      <c r="BR337" t="s">
        <v>98</v>
      </c>
      <c r="BS337" t="s">
        <v>4780</v>
      </c>
      <c r="BT337" t="str">
        <f>HYPERLINK("https%3A%2F%2Fwww.webofscience.com%2Fwos%2Fwoscc%2Ffull-record%2FWOS:000189458700087","View Full Record in Web of Science")</f>
        <v>View Full Record in Web of Science</v>
      </c>
    </row>
    <row r="338" spans="1:72" x14ac:dyDescent="0.15">
      <c r="A338" t="s">
        <v>72</v>
      </c>
      <c r="B338" t="s">
        <v>4781</v>
      </c>
      <c r="C338" t="s">
        <v>74</v>
      </c>
      <c r="D338" t="s">
        <v>4782</v>
      </c>
      <c r="E338" t="s">
        <v>74</v>
      </c>
      <c r="F338" t="s">
        <v>4781</v>
      </c>
      <c r="G338" t="s">
        <v>74</v>
      </c>
      <c r="H338" t="s">
        <v>74</v>
      </c>
      <c r="I338" t="s">
        <v>4783</v>
      </c>
      <c r="J338" t="s">
        <v>4784</v>
      </c>
      <c r="K338" t="s">
        <v>1827</v>
      </c>
      <c r="L338" t="s">
        <v>74</v>
      </c>
      <c r="M338" t="s">
        <v>78</v>
      </c>
      <c r="N338" t="s">
        <v>79</v>
      </c>
      <c r="O338" t="s">
        <v>4785</v>
      </c>
      <c r="P338" t="s">
        <v>4786</v>
      </c>
      <c r="Q338" t="s">
        <v>1830</v>
      </c>
      <c r="R338" t="s">
        <v>74</v>
      </c>
      <c r="S338" t="s">
        <v>74</v>
      </c>
      <c r="T338" t="s">
        <v>4787</v>
      </c>
      <c r="U338" t="s">
        <v>74</v>
      </c>
      <c r="V338" t="s">
        <v>4788</v>
      </c>
      <c r="W338" t="s">
        <v>2931</v>
      </c>
      <c r="X338" t="s">
        <v>1694</v>
      </c>
      <c r="Y338" t="s">
        <v>4789</v>
      </c>
      <c r="Z338" t="s">
        <v>74</v>
      </c>
      <c r="AA338" t="s">
        <v>74</v>
      </c>
      <c r="AB338" t="s">
        <v>74</v>
      </c>
      <c r="AC338" t="s">
        <v>74</v>
      </c>
      <c r="AD338" t="s">
        <v>74</v>
      </c>
      <c r="AE338" t="s">
        <v>74</v>
      </c>
      <c r="AF338" t="s">
        <v>74</v>
      </c>
      <c r="AG338">
        <v>3</v>
      </c>
      <c r="AH338">
        <v>2</v>
      </c>
      <c r="AI338">
        <v>3</v>
      </c>
      <c r="AJ338">
        <v>0</v>
      </c>
      <c r="AK338">
        <v>3</v>
      </c>
      <c r="AL338" t="s">
        <v>1838</v>
      </c>
      <c r="AM338" t="s">
        <v>1839</v>
      </c>
      <c r="AN338" t="s">
        <v>1840</v>
      </c>
      <c r="AO338" t="s">
        <v>1841</v>
      </c>
      <c r="AP338" t="s">
        <v>74</v>
      </c>
      <c r="AQ338" t="s">
        <v>4790</v>
      </c>
      <c r="AR338" t="s">
        <v>1843</v>
      </c>
      <c r="AS338" t="s">
        <v>74</v>
      </c>
      <c r="AT338" t="s">
        <v>74</v>
      </c>
      <c r="AU338">
        <v>2003</v>
      </c>
      <c r="AV338">
        <v>5050</v>
      </c>
      <c r="AW338" t="s">
        <v>74</v>
      </c>
      <c r="AX338" t="s">
        <v>74</v>
      </c>
      <c r="AY338" t="s">
        <v>74</v>
      </c>
      <c r="AZ338" t="s">
        <v>74</v>
      </c>
      <c r="BA338" t="s">
        <v>74</v>
      </c>
      <c r="BB338">
        <v>52</v>
      </c>
      <c r="BC338">
        <v>60</v>
      </c>
      <c r="BD338" t="s">
        <v>74</v>
      </c>
      <c r="BE338" t="s">
        <v>4791</v>
      </c>
      <c r="BF338" t="str">
        <f>HYPERLINK("http://dx.doi.org/10.1117/12.484259","http://dx.doi.org/10.1117/12.484259")</f>
        <v>http://dx.doi.org/10.1117/12.484259</v>
      </c>
      <c r="BG338" t="s">
        <v>74</v>
      </c>
      <c r="BH338" t="s">
        <v>74</v>
      </c>
      <c r="BI338">
        <v>9</v>
      </c>
      <c r="BJ338" t="s">
        <v>4764</v>
      </c>
      <c r="BK338" t="s">
        <v>95</v>
      </c>
      <c r="BL338" t="s">
        <v>4764</v>
      </c>
      <c r="BM338" t="s">
        <v>4792</v>
      </c>
      <c r="BN338" t="s">
        <v>74</v>
      </c>
      <c r="BO338" t="s">
        <v>74</v>
      </c>
      <c r="BP338" t="s">
        <v>74</v>
      </c>
      <c r="BQ338" t="s">
        <v>74</v>
      </c>
      <c r="BR338" t="s">
        <v>98</v>
      </c>
      <c r="BS338" t="s">
        <v>4793</v>
      </c>
      <c r="BT338" t="str">
        <f>HYPERLINK("https%3A%2F%2Fwww.webofscience.com%2Fwos%2Fwoscc%2Ffull-record%2FWOS:000184997000007","View Full Record in Web of Science")</f>
        <v>View Full Record in Web of Science</v>
      </c>
    </row>
    <row r="339" spans="1:72" x14ac:dyDescent="0.15">
      <c r="A339" t="s">
        <v>552</v>
      </c>
      <c r="B339" t="s">
        <v>4794</v>
      </c>
      <c r="C339" t="s">
        <v>74</v>
      </c>
      <c r="D339" t="s">
        <v>74</v>
      </c>
      <c r="E339" t="s">
        <v>74</v>
      </c>
      <c r="F339" t="s">
        <v>4794</v>
      </c>
      <c r="G339" t="s">
        <v>74</v>
      </c>
      <c r="H339" t="s">
        <v>74</v>
      </c>
      <c r="I339" t="s">
        <v>4795</v>
      </c>
      <c r="J339" t="s">
        <v>4796</v>
      </c>
      <c r="K339" t="s">
        <v>74</v>
      </c>
      <c r="L339" t="s">
        <v>74</v>
      </c>
      <c r="M339" t="s">
        <v>78</v>
      </c>
      <c r="N339" t="s">
        <v>775</v>
      </c>
      <c r="O339" t="s">
        <v>74</v>
      </c>
      <c r="P339" t="s">
        <v>74</v>
      </c>
      <c r="Q339" t="s">
        <v>74</v>
      </c>
      <c r="R339" t="s">
        <v>74</v>
      </c>
      <c r="S339" t="s">
        <v>74</v>
      </c>
      <c r="T339" t="s">
        <v>4797</v>
      </c>
      <c r="U339" t="s">
        <v>4798</v>
      </c>
      <c r="V339" t="s">
        <v>4799</v>
      </c>
      <c r="W339" t="s">
        <v>4800</v>
      </c>
      <c r="X339" t="s">
        <v>2913</v>
      </c>
      <c r="Y339" t="s">
        <v>4801</v>
      </c>
      <c r="Z339" t="s">
        <v>4802</v>
      </c>
      <c r="AA339" t="s">
        <v>74</v>
      </c>
      <c r="AB339" t="s">
        <v>74</v>
      </c>
      <c r="AC339" t="s">
        <v>74</v>
      </c>
      <c r="AD339" t="s">
        <v>74</v>
      </c>
      <c r="AE339" t="s">
        <v>74</v>
      </c>
      <c r="AF339" t="s">
        <v>74</v>
      </c>
      <c r="AG339">
        <v>38</v>
      </c>
      <c r="AH339">
        <v>39</v>
      </c>
      <c r="AI339">
        <v>66</v>
      </c>
      <c r="AJ339">
        <v>0</v>
      </c>
      <c r="AK339">
        <v>32</v>
      </c>
      <c r="AL339" t="s">
        <v>806</v>
      </c>
      <c r="AM339" t="s">
        <v>807</v>
      </c>
      <c r="AN339" t="s">
        <v>808</v>
      </c>
      <c r="AO339" t="s">
        <v>4803</v>
      </c>
      <c r="AP339" t="s">
        <v>74</v>
      </c>
      <c r="AQ339" t="s">
        <v>74</v>
      </c>
      <c r="AR339" t="s">
        <v>4804</v>
      </c>
      <c r="AS339" t="s">
        <v>4805</v>
      </c>
      <c r="AT339" t="s">
        <v>566</v>
      </c>
      <c r="AU339">
        <v>2003</v>
      </c>
      <c r="AV339">
        <v>35</v>
      </c>
      <c r="AW339">
        <v>1</v>
      </c>
      <c r="AX339" t="s">
        <v>74</v>
      </c>
      <c r="AY339" t="s">
        <v>74</v>
      </c>
      <c r="AZ339" t="s">
        <v>74</v>
      </c>
      <c r="BA339" t="s">
        <v>74</v>
      </c>
      <c r="BB339">
        <v>77</v>
      </c>
      <c r="BC339">
        <v>91</v>
      </c>
      <c r="BD339" t="s">
        <v>4806</v>
      </c>
      <c r="BE339" t="s">
        <v>4807</v>
      </c>
      <c r="BF339" t="str">
        <f>HYPERLINK("http://dx.doi.org/10.1016/S0038-0717(02)00240-7","http://dx.doi.org/10.1016/S0038-0717(02)00240-7")</f>
        <v>http://dx.doi.org/10.1016/S0038-0717(02)00240-7</v>
      </c>
      <c r="BG339" t="s">
        <v>74</v>
      </c>
      <c r="BH339" t="s">
        <v>74</v>
      </c>
      <c r="BI339">
        <v>15</v>
      </c>
      <c r="BJ339" t="s">
        <v>881</v>
      </c>
      <c r="BK339" t="s">
        <v>569</v>
      </c>
      <c r="BL339" t="s">
        <v>882</v>
      </c>
      <c r="BM339" t="s">
        <v>4808</v>
      </c>
      <c r="BN339" t="s">
        <v>74</v>
      </c>
      <c r="BO339" t="s">
        <v>74</v>
      </c>
      <c r="BP339" t="s">
        <v>74</v>
      </c>
      <c r="BQ339" t="s">
        <v>74</v>
      </c>
      <c r="BR339" t="s">
        <v>98</v>
      </c>
      <c r="BS339" t="s">
        <v>4809</v>
      </c>
      <c r="BT339" t="str">
        <f>HYPERLINK("https%3A%2F%2Fwww.webofscience.com%2Fwos%2Fwoscc%2Ffull-record%2FWOS:000181792600009","View Full Record in Web of Science")</f>
        <v>View Full Record in Web of Science</v>
      </c>
    </row>
    <row r="340" spans="1:72" x14ac:dyDescent="0.15">
      <c r="A340" t="s">
        <v>903</v>
      </c>
      <c r="B340" t="s">
        <v>4810</v>
      </c>
      <c r="C340" t="s">
        <v>74</v>
      </c>
      <c r="D340" t="s">
        <v>4811</v>
      </c>
      <c r="E340" t="s">
        <v>74</v>
      </c>
      <c r="F340" t="s">
        <v>4810</v>
      </c>
      <c r="G340" t="s">
        <v>74</v>
      </c>
      <c r="H340" t="s">
        <v>74</v>
      </c>
      <c r="I340" t="s">
        <v>4812</v>
      </c>
      <c r="J340" t="s">
        <v>4813</v>
      </c>
      <c r="K340" t="s">
        <v>3742</v>
      </c>
      <c r="L340" t="s">
        <v>74</v>
      </c>
      <c r="M340" t="s">
        <v>78</v>
      </c>
      <c r="N340" t="s">
        <v>576</v>
      </c>
      <c r="O340" t="s">
        <v>4814</v>
      </c>
      <c r="P340" t="s">
        <v>4815</v>
      </c>
      <c r="Q340" t="s">
        <v>4816</v>
      </c>
      <c r="R340" t="s">
        <v>74</v>
      </c>
      <c r="S340" t="s">
        <v>74</v>
      </c>
      <c r="T340" t="s">
        <v>74</v>
      </c>
      <c r="U340" t="s">
        <v>74</v>
      </c>
      <c r="V340" t="s">
        <v>4817</v>
      </c>
      <c r="W340" t="s">
        <v>4818</v>
      </c>
      <c r="X340" t="s">
        <v>4819</v>
      </c>
      <c r="Y340" t="s">
        <v>4820</v>
      </c>
      <c r="Z340" t="s">
        <v>74</v>
      </c>
      <c r="AA340" t="s">
        <v>74</v>
      </c>
      <c r="AB340" t="s">
        <v>74</v>
      </c>
      <c r="AC340" t="s">
        <v>74</v>
      </c>
      <c r="AD340" t="s">
        <v>74</v>
      </c>
      <c r="AE340" t="s">
        <v>74</v>
      </c>
      <c r="AF340" t="s">
        <v>74</v>
      </c>
      <c r="AG340">
        <v>17</v>
      </c>
      <c r="AH340">
        <v>3</v>
      </c>
      <c r="AI340">
        <v>4</v>
      </c>
      <c r="AJ340">
        <v>0</v>
      </c>
      <c r="AK340">
        <v>4</v>
      </c>
      <c r="AL340" t="s">
        <v>806</v>
      </c>
      <c r="AM340" t="s">
        <v>807</v>
      </c>
      <c r="AN340" t="s">
        <v>808</v>
      </c>
      <c r="AO340" t="s">
        <v>3754</v>
      </c>
      <c r="AP340" t="s">
        <v>74</v>
      </c>
      <c r="AQ340" t="s">
        <v>74</v>
      </c>
      <c r="AR340" t="s">
        <v>3755</v>
      </c>
      <c r="AS340" t="s">
        <v>74</v>
      </c>
      <c r="AT340" t="s">
        <v>74</v>
      </c>
      <c r="AU340">
        <v>2003</v>
      </c>
      <c r="AV340">
        <v>31</v>
      </c>
      <c r="AW340">
        <v>1</v>
      </c>
      <c r="AX340" t="s">
        <v>74</v>
      </c>
      <c r="AY340" t="s">
        <v>74</v>
      </c>
      <c r="AZ340" t="s">
        <v>74</v>
      </c>
      <c r="BA340" t="s">
        <v>74</v>
      </c>
      <c r="BB340">
        <v>255</v>
      </c>
      <c r="BC340">
        <v>262</v>
      </c>
      <c r="BD340" t="s">
        <v>4821</v>
      </c>
      <c r="BE340" t="s">
        <v>4822</v>
      </c>
      <c r="BF340" t="str">
        <f>HYPERLINK("http://dx.doi.org/10.1016/S0273-1177(02)00738-X","http://dx.doi.org/10.1016/S0273-1177(02)00738-X")</f>
        <v>http://dx.doi.org/10.1016/S0273-1177(02)00738-X</v>
      </c>
      <c r="BG340" t="s">
        <v>74</v>
      </c>
      <c r="BH340" t="s">
        <v>74</v>
      </c>
      <c r="BI340">
        <v>8</v>
      </c>
      <c r="BJ340" t="s">
        <v>3757</v>
      </c>
      <c r="BK340" t="s">
        <v>589</v>
      </c>
      <c r="BL340" t="s">
        <v>3758</v>
      </c>
      <c r="BM340" t="s">
        <v>4823</v>
      </c>
      <c r="BN340">
        <v>12580191</v>
      </c>
      <c r="BO340" t="s">
        <v>74</v>
      </c>
      <c r="BP340" t="s">
        <v>74</v>
      </c>
      <c r="BQ340" t="s">
        <v>74</v>
      </c>
      <c r="BR340" t="s">
        <v>98</v>
      </c>
      <c r="BS340" t="s">
        <v>4824</v>
      </c>
      <c r="BT340" t="str">
        <f>HYPERLINK("https%3A%2F%2Fwww.webofscience.com%2Fwos%2Fwoscc%2Ffull-record%2FWOS:000180591400035","View Full Record in Web of Science")</f>
        <v>View Full Record in Web of Science</v>
      </c>
    </row>
    <row r="341" spans="1:72" x14ac:dyDescent="0.15">
      <c r="A341" t="s">
        <v>552</v>
      </c>
      <c r="B341" t="s">
        <v>4825</v>
      </c>
      <c r="C341" t="s">
        <v>74</v>
      </c>
      <c r="D341" t="s">
        <v>74</v>
      </c>
      <c r="E341" t="s">
        <v>74</v>
      </c>
      <c r="F341" t="s">
        <v>4825</v>
      </c>
      <c r="G341" t="s">
        <v>74</v>
      </c>
      <c r="H341" t="s">
        <v>74</v>
      </c>
      <c r="I341" t="s">
        <v>4826</v>
      </c>
      <c r="J341" t="s">
        <v>4827</v>
      </c>
      <c r="K341" t="s">
        <v>74</v>
      </c>
      <c r="L341" t="s">
        <v>74</v>
      </c>
      <c r="M341" t="s">
        <v>78</v>
      </c>
      <c r="N341" t="s">
        <v>1114</v>
      </c>
      <c r="O341" t="s">
        <v>74</v>
      </c>
      <c r="P341" t="s">
        <v>74</v>
      </c>
      <c r="Q341" t="s">
        <v>74</v>
      </c>
      <c r="R341" t="s">
        <v>74</v>
      </c>
      <c r="S341" t="s">
        <v>74</v>
      </c>
      <c r="T341" t="s">
        <v>74</v>
      </c>
      <c r="U341" t="s">
        <v>4828</v>
      </c>
      <c r="V341" t="s">
        <v>4829</v>
      </c>
      <c r="W341" t="s">
        <v>4830</v>
      </c>
      <c r="X341" t="s">
        <v>4831</v>
      </c>
      <c r="Y341" t="s">
        <v>4832</v>
      </c>
      <c r="Z341" t="s">
        <v>4833</v>
      </c>
      <c r="AA341" t="s">
        <v>4834</v>
      </c>
      <c r="AB341" t="s">
        <v>4835</v>
      </c>
      <c r="AC341" t="s">
        <v>74</v>
      </c>
      <c r="AD341" t="s">
        <v>74</v>
      </c>
      <c r="AE341" t="s">
        <v>74</v>
      </c>
      <c r="AF341" t="s">
        <v>74</v>
      </c>
      <c r="AG341">
        <v>32</v>
      </c>
      <c r="AH341">
        <v>19</v>
      </c>
      <c r="AI341">
        <v>21</v>
      </c>
      <c r="AJ341">
        <v>1</v>
      </c>
      <c r="AK341">
        <v>10</v>
      </c>
      <c r="AL341" t="s">
        <v>1230</v>
      </c>
      <c r="AM341" t="s">
        <v>1210</v>
      </c>
      <c r="AN341" t="s">
        <v>1211</v>
      </c>
      <c r="AO341" t="s">
        <v>4836</v>
      </c>
      <c r="AP341" t="s">
        <v>4837</v>
      </c>
      <c r="AQ341" t="s">
        <v>74</v>
      </c>
      <c r="AR341" t="s">
        <v>4838</v>
      </c>
      <c r="AS341" t="s">
        <v>4839</v>
      </c>
      <c r="AT341" t="s">
        <v>74</v>
      </c>
      <c r="AU341">
        <v>2003</v>
      </c>
      <c r="AV341">
        <v>108</v>
      </c>
      <c r="AW341" t="s">
        <v>1866</v>
      </c>
      <c r="AX341" t="s">
        <v>74</v>
      </c>
      <c r="AY341" t="s">
        <v>74</v>
      </c>
      <c r="AZ341" t="s">
        <v>74</v>
      </c>
      <c r="BA341" t="s">
        <v>74</v>
      </c>
      <c r="BB341">
        <v>81</v>
      </c>
      <c r="BC341">
        <v>93</v>
      </c>
      <c r="BD341" t="s">
        <v>74</v>
      </c>
      <c r="BE341" t="s">
        <v>74</v>
      </c>
      <c r="BF341" t="s">
        <v>74</v>
      </c>
      <c r="BG341" t="s">
        <v>74</v>
      </c>
      <c r="BH341" t="s">
        <v>74</v>
      </c>
      <c r="BI341">
        <v>13</v>
      </c>
      <c r="BJ341" t="s">
        <v>4840</v>
      </c>
      <c r="BK341" t="s">
        <v>569</v>
      </c>
      <c r="BL341" t="s">
        <v>4840</v>
      </c>
      <c r="BM341" t="s">
        <v>4841</v>
      </c>
      <c r="BN341" t="s">
        <v>74</v>
      </c>
      <c r="BO341" t="s">
        <v>74</v>
      </c>
      <c r="BP341" t="s">
        <v>74</v>
      </c>
      <c r="BQ341" t="s">
        <v>74</v>
      </c>
      <c r="BR341" t="s">
        <v>98</v>
      </c>
      <c r="BS341" t="s">
        <v>4842</v>
      </c>
      <c r="BT341" t="str">
        <f>HYPERLINK("https%3A%2F%2Fwww.webofscience.com%2Fwos%2Fwoscc%2Ffull-record%2FWOS:000185918700009","View Full Record in Web of Science")</f>
        <v>View Full Record in Web of Science</v>
      </c>
    </row>
    <row r="342" spans="1:72" x14ac:dyDescent="0.15">
      <c r="A342" t="s">
        <v>903</v>
      </c>
      <c r="B342" t="s">
        <v>4843</v>
      </c>
      <c r="C342" t="s">
        <v>74</v>
      </c>
      <c r="D342" t="s">
        <v>4844</v>
      </c>
      <c r="E342" t="s">
        <v>74</v>
      </c>
      <c r="F342" t="s">
        <v>4843</v>
      </c>
      <c r="G342" t="s">
        <v>74</v>
      </c>
      <c r="H342" t="s">
        <v>74</v>
      </c>
      <c r="I342" t="s">
        <v>4845</v>
      </c>
      <c r="J342" t="s">
        <v>4846</v>
      </c>
      <c r="K342" t="s">
        <v>3742</v>
      </c>
      <c r="L342" t="s">
        <v>74</v>
      </c>
      <c r="M342" t="s">
        <v>78</v>
      </c>
      <c r="N342" t="s">
        <v>576</v>
      </c>
      <c r="O342" t="s">
        <v>4847</v>
      </c>
      <c r="P342" t="s">
        <v>4815</v>
      </c>
      <c r="Q342" t="s">
        <v>4816</v>
      </c>
      <c r="R342" t="s">
        <v>74</v>
      </c>
      <c r="S342" t="s">
        <v>74</v>
      </c>
      <c r="T342" t="s">
        <v>74</v>
      </c>
      <c r="U342" t="s">
        <v>4848</v>
      </c>
      <c r="V342" t="s">
        <v>4849</v>
      </c>
      <c r="W342" t="s">
        <v>4850</v>
      </c>
      <c r="X342" t="s">
        <v>4851</v>
      </c>
      <c r="Y342" t="s">
        <v>4852</v>
      </c>
      <c r="Z342" t="s">
        <v>74</v>
      </c>
      <c r="AA342" t="s">
        <v>4853</v>
      </c>
      <c r="AB342" t="s">
        <v>4854</v>
      </c>
      <c r="AC342" t="s">
        <v>74</v>
      </c>
      <c r="AD342" t="s">
        <v>74</v>
      </c>
      <c r="AE342" t="s">
        <v>74</v>
      </c>
      <c r="AF342" t="s">
        <v>74</v>
      </c>
      <c r="AG342">
        <v>12</v>
      </c>
      <c r="AH342">
        <v>7</v>
      </c>
      <c r="AI342">
        <v>7</v>
      </c>
      <c r="AJ342">
        <v>0</v>
      </c>
      <c r="AK342">
        <v>0</v>
      </c>
      <c r="AL342" t="s">
        <v>806</v>
      </c>
      <c r="AM342" t="s">
        <v>3752</v>
      </c>
      <c r="AN342" t="s">
        <v>3753</v>
      </c>
      <c r="AO342" t="s">
        <v>3754</v>
      </c>
      <c r="AP342" t="s">
        <v>74</v>
      </c>
      <c r="AQ342" t="s">
        <v>74</v>
      </c>
      <c r="AR342" t="s">
        <v>3755</v>
      </c>
      <c r="AS342" t="s">
        <v>74</v>
      </c>
      <c r="AT342" t="s">
        <v>74</v>
      </c>
      <c r="AU342">
        <v>2003</v>
      </c>
      <c r="AV342">
        <v>31</v>
      </c>
      <c r="AW342">
        <v>4</v>
      </c>
      <c r="AX342" t="s">
        <v>74</v>
      </c>
      <c r="AY342" t="s">
        <v>74</v>
      </c>
      <c r="AZ342" t="s">
        <v>74</v>
      </c>
      <c r="BA342" t="s">
        <v>74</v>
      </c>
      <c r="BB342">
        <v>1111</v>
      </c>
      <c r="BC342">
        <v>1116</v>
      </c>
      <c r="BD342" t="s">
        <v>74</v>
      </c>
      <c r="BE342" t="s">
        <v>4855</v>
      </c>
      <c r="BF342" t="str">
        <f>HYPERLINK("http://dx.doi.org/10.1016/S0273-1177(02)00890-6","http://dx.doi.org/10.1016/S0273-1177(02)00890-6")</f>
        <v>http://dx.doi.org/10.1016/S0273-1177(02)00890-6</v>
      </c>
      <c r="BG342" t="s">
        <v>74</v>
      </c>
      <c r="BH342" t="s">
        <v>74</v>
      </c>
      <c r="BI342">
        <v>6</v>
      </c>
      <c r="BJ342" t="s">
        <v>3757</v>
      </c>
      <c r="BK342" t="s">
        <v>589</v>
      </c>
      <c r="BL342" t="s">
        <v>3758</v>
      </c>
      <c r="BM342" t="s">
        <v>4856</v>
      </c>
      <c r="BN342" t="s">
        <v>74</v>
      </c>
      <c r="BO342" t="s">
        <v>74</v>
      </c>
      <c r="BP342" t="s">
        <v>74</v>
      </c>
      <c r="BQ342" t="s">
        <v>74</v>
      </c>
      <c r="BR342" t="s">
        <v>98</v>
      </c>
      <c r="BS342" t="s">
        <v>4857</v>
      </c>
      <c r="BT342" t="str">
        <f>HYPERLINK("https%3A%2F%2Fwww.webofscience.com%2Fwos%2Fwoscc%2Ffull-record%2FWOS:000184540400046","View Full Record in Web of Science")</f>
        <v>View Full Record in Web of Science</v>
      </c>
    </row>
    <row r="343" spans="1:72" x14ac:dyDescent="0.15">
      <c r="A343" t="s">
        <v>903</v>
      </c>
      <c r="B343" t="s">
        <v>4858</v>
      </c>
      <c r="C343" t="s">
        <v>74</v>
      </c>
      <c r="D343" t="s">
        <v>4844</v>
      </c>
      <c r="E343" t="s">
        <v>74</v>
      </c>
      <c r="F343" t="s">
        <v>4858</v>
      </c>
      <c r="G343" t="s">
        <v>74</v>
      </c>
      <c r="H343" t="s">
        <v>74</v>
      </c>
      <c r="I343" t="s">
        <v>4859</v>
      </c>
      <c r="J343" t="s">
        <v>4846</v>
      </c>
      <c r="K343" t="s">
        <v>3742</v>
      </c>
      <c r="L343" t="s">
        <v>74</v>
      </c>
      <c r="M343" t="s">
        <v>78</v>
      </c>
      <c r="N343" t="s">
        <v>576</v>
      </c>
      <c r="O343" t="s">
        <v>4847</v>
      </c>
      <c r="P343" t="s">
        <v>4815</v>
      </c>
      <c r="Q343" t="s">
        <v>4816</v>
      </c>
      <c r="R343" t="s">
        <v>74</v>
      </c>
      <c r="S343" t="s">
        <v>74</v>
      </c>
      <c r="T343" t="s">
        <v>74</v>
      </c>
      <c r="U343" t="s">
        <v>4860</v>
      </c>
      <c r="V343" t="s">
        <v>4861</v>
      </c>
      <c r="W343" t="s">
        <v>4862</v>
      </c>
      <c r="X343" t="s">
        <v>4863</v>
      </c>
      <c r="Y343" t="s">
        <v>4852</v>
      </c>
      <c r="Z343" t="s">
        <v>74</v>
      </c>
      <c r="AA343" t="s">
        <v>4864</v>
      </c>
      <c r="AB343" t="s">
        <v>4865</v>
      </c>
      <c r="AC343" t="s">
        <v>74</v>
      </c>
      <c r="AD343" t="s">
        <v>74</v>
      </c>
      <c r="AE343" t="s">
        <v>74</v>
      </c>
      <c r="AF343" t="s">
        <v>74</v>
      </c>
      <c r="AG343">
        <v>11</v>
      </c>
      <c r="AH343">
        <v>2</v>
      </c>
      <c r="AI343">
        <v>2</v>
      </c>
      <c r="AJ343">
        <v>0</v>
      </c>
      <c r="AK343">
        <v>1</v>
      </c>
      <c r="AL343" t="s">
        <v>806</v>
      </c>
      <c r="AM343" t="s">
        <v>3752</v>
      </c>
      <c r="AN343" t="s">
        <v>3753</v>
      </c>
      <c r="AO343" t="s">
        <v>3754</v>
      </c>
      <c r="AP343" t="s">
        <v>74</v>
      </c>
      <c r="AQ343" t="s">
        <v>74</v>
      </c>
      <c r="AR343" t="s">
        <v>3755</v>
      </c>
      <c r="AS343" t="s">
        <v>74</v>
      </c>
      <c r="AT343" t="s">
        <v>74</v>
      </c>
      <c r="AU343">
        <v>2003</v>
      </c>
      <c r="AV343">
        <v>31</v>
      </c>
      <c r="AW343">
        <v>4</v>
      </c>
      <c r="AX343" t="s">
        <v>74</v>
      </c>
      <c r="AY343" t="s">
        <v>74</v>
      </c>
      <c r="AZ343" t="s">
        <v>74</v>
      </c>
      <c r="BA343" t="s">
        <v>74</v>
      </c>
      <c r="BB343">
        <v>1117</v>
      </c>
      <c r="BC343">
        <v>1122</v>
      </c>
      <c r="BD343" t="s">
        <v>74</v>
      </c>
      <c r="BE343" t="s">
        <v>4866</v>
      </c>
      <c r="BF343" t="str">
        <f>HYPERLINK("http://dx.doi.org/10.1016/S0273-1177(02)00891-8","http://dx.doi.org/10.1016/S0273-1177(02)00891-8")</f>
        <v>http://dx.doi.org/10.1016/S0273-1177(02)00891-8</v>
      </c>
      <c r="BG343" t="s">
        <v>74</v>
      </c>
      <c r="BH343" t="s">
        <v>74</v>
      </c>
      <c r="BI343">
        <v>6</v>
      </c>
      <c r="BJ343" t="s">
        <v>3757</v>
      </c>
      <c r="BK343" t="s">
        <v>589</v>
      </c>
      <c r="BL343" t="s">
        <v>3758</v>
      </c>
      <c r="BM343" t="s">
        <v>4856</v>
      </c>
      <c r="BN343" t="s">
        <v>74</v>
      </c>
      <c r="BO343" t="s">
        <v>74</v>
      </c>
      <c r="BP343" t="s">
        <v>74</v>
      </c>
      <c r="BQ343" t="s">
        <v>74</v>
      </c>
      <c r="BR343" t="s">
        <v>98</v>
      </c>
      <c r="BS343" t="s">
        <v>4867</v>
      </c>
      <c r="BT343" t="str">
        <f>HYPERLINK("https%3A%2F%2Fwww.webofscience.com%2Fwos%2Fwoscc%2Ffull-record%2FWOS:000184540400047","View Full Record in Web of Science")</f>
        <v>View Full Record in Web of Science</v>
      </c>
    </row>
    <row r="344" spans="1:72" x14ac:dyDescent="0.15">
      <c r="A344" t="s">
        <v>72</v>
      </c>
      <c r="B344" t="s">
        <v>4868</v>
      </c>
      <c r="C344" t="s">
        <v>74</v>
      </c>
      <c r="D344" t="s">
        <v>4869</v>
      </c>
      <c r="E344" t="s">
        <v>74</v>
      </c>
      <c r="F344" t="s">
        <v>4868</v>
      </c>
      <c r="G344" t="s">
        <v>74</v>
      </c>
      <c r="H344" t="s">
        <v>74</v>
      </c>
      <c r="I344" t="s">
        <v>4870</v>
      </c>
      <c r="J344" t="s">
        <v>4871</v>
      </c>
      <c r="K344" t="s">
        <v>4155</v>
      </c>
      <c r="L344" t="s">
        <v>74</v>
      </c>
      <c r="M344" t="s">
        <v>78</v>
      </c>
      <c r="N344" t="s">
        <v>79</v>
      </c>
      <c r="O344" t="s">
        <v>4872</v>
      </c>
      <c r="P344" t="s">
        <v>4873</v>
      </c>
      <c r="Q344" t="s">
        <v>1830</v>
      </c>
      <c r="R344" t="s">
        <v>74</v>
      </c>
      <c r="S344" t="s">
        <v>74</v>
      </c>
      <c r="T344" t="s">
        <v>4874</v>
      </c>
      <c r="U344" t="s">
        <v>4875</v>
      </c>
      <c r="V344" t="s">
        <v>4876</v>
      </c>
      <c r="W344" t="s">
        <v>4877</v>
      </c>
      <c r="X344" t="s">
        <v>4878</v>
      </c>
      <c r="Y344" t="s">
        <v>4879</v>
      </c>
      <c r="Z344" t="s">
        <v>4880</v>
      </c>
      <c r="AA344" t="s">
        <v>4881</v>
      </c>
      <c r="AB344" t="s">
        <v>4882</v>
      </c>
      <c r="AC344" t="s">
        <v>74</v>
      </c>
      <c r="AD344" t="s">
        <v>74</v>
      </c>
      <c r="AE344" t="s">
        <v>74</v>
      </c>
      <c r="AF344" t="s">
        <v>74</v>
      </c>
      <c r="AG344">
        <v>18</v>
      </c>
      <c r="AH344">
        <v>5</v>
      </c>
      <c r="AI344">
        <v>5</v>
      </c>
      <c r="AJ344">
        <v>0</v>
      </c>
      <c r="AK344">
        <v>1</v>
      </c>
      <c r="AL344" t="s">
        <v>1838</v>
      </c>
      <c r="AM344" t="s">
        <v>1839</v>
      </c>
      <c r="AN344" t="s">
        <v>1840</v>
      </c>
      <c r="AO344" t="s">
        <v>1841</v>
      </c>
      <c r="AP344" t="s">
        <v>4168</v>
      </c>
      <c r="AQ344" t="s">
        <v>4883</v>
      </c>
      <c r="AR344" t="s">
        <v>4170</v>
      </c>
      <c r="AS344" t="s">
        <v>74</v>
      </c>
      <c r="AT344" t="s">
        <v>74</v>
      </c>
      <c r="AU344">
        <v>2003</v>
      </c>
      <c r="AV344">
        <v>5170</v>
      </c>
      <c r="AW344" t="s">
        <v>74</v>
      </c>
      <c r="AX344" t="s">
        <v>74</v>
      </c>
      <c r="AY344" t="s">
        <v>74</v>
      </c>
      <c r="AZ344" t="s">
        <v>74</v>
      </c>
      <c r="BA344" t="s">
        <v>74</v>
      </c>
      <c r="BB344">
        <v>193</v>
      </c>
      <c r="BC344">
        <v>199</v>
      </c>
      <c r="BD344" t="s">
        <v>74</v>
      </c>
      <c r="BE344" t="s">
        <v>4884</v>
      </c>
      <c r="BF344" t="str">
        <f>HYPERLINK("http://dx.doi.org/10.1117/12.506895","http://dx.doi.org/10.1117/12.506895")</f>
        <v>http://dx.doi.org/10.1117/12.506895</v>
      </c>
      <c r="BG344" t="s">
        <v>74</v>
      </c>
      <c r="BH344" t="s">
        <v>74</v>
      </c>
      <c r="BI344">
        <v>7</v>
      </c>
      <c r="BJ344" t="s">
        <v>4764</v>
      </c>
      <c r="BK344" t="s">
        <v>95</v>
      </c>
      <c r="BL344" t="s">
        <v>4764</v>
      </c>
      <c r="BM344" t="s">
        <v>4885</v>
      </c>
      <c r="BN344" t="s">
        <v>74</v>
      </c>
      <c r="BO344" t="s">
        <v>1574</v>
      </c>
      <c r="BP344" t="s">
        <v>74</v>
      </c>
      <c r="BQ344" t="s">
        <v>74</v>
      </c>
      <c r="BR344" t="s">
        <v>98</v>
      </c>
      <c r="BS344" t="s">
        <v>4886</v>
      </c>
      <c r="BT344" t="str">
        <f>HYPERLINK("https%3A%2F%2Fwww.webofscience.com%2Fwos%2Fwoscc%2Ffull-record%2FWOS:000187838700019","View Full Record in Web of Science")</f>
        <v>View Full Record in Web of Science</v>
      </c>
    </row>
    <row r="345" spans="1:72" x14ac:dyDescent="0.15">
      <c r="A345" t="s">
        <v>552</v>
      </c>
      <c r="B345" t="s">
        <v>4887</v>
      </c>
      <c r="C345" t="s">
        <v>74</v>
      </c>
      <c r="D345" t="s">
        <v>74</v>
      </c>
      <c r="E345" t="s">
        <v>74</v>
      </c>
      <c r="F345" t="s">
        <v>4887</v>
      </c>
      <c r="G345" t="s">
        <v>74</v>
      </c>
      <c r="H345" t="s">
        <v>74</v>
      </c>
      <c r="I345" t="s">
        <v>4888</v>
      </c>
      <c r="J345" t="s">
        <v>4889</v>
      </c>
      <c r="K345" t="s">
        <v>74</v>
      </c>
      <c r="L345" t="s">
        <v>74</v>
      </c>
      <c r="M345" t="s">
        <v>78</v>
      </c>
      <c r="N345" t="s">
        <v>775</v>
      </c>
      <c r="O345" t="s">
        <v>74</v>
      </c>
      <c r="P345" t="s">
        <v>74</v>
      </c>
      <c r="Q345" t="s">
        <v>74</v>
      </c>
      <c r="R345" t="s">
        <v>74</v>
      </c>
      <c r="S345" t="s">
        <v>74</v>
      </c>
      <c r="T345" t="s">
        <v>74</v>
      </c>
      <c r="U345" t="s">
        <v>4890</v>
      </c>
      <c r="V345" t="s">
        <v>4891</v>
      </c>
      <c r="W345" t="s">
        <v>4892</v>
      </c>
      <c r="X345" t="s">
        <v>4893</v>
      </c>
      <c r="Y345" t="s">
        <v>4894</v>
      </c>
      <c r="Z345" t="s">
        <v>74</v>
      </c>
      <c r="AA345" t="s">
        <v>4895</v>
      </c>
      <c r="AB345" t="s">
        <v>4896</v>
      </c>
      <c r="AC345" t="s">
        <v>74</v>
      </c>
      <c r="AD345" t="s">
        <v>74</v>
      </c>
      <c r="AE345" t="s">
        <v>74</v>
      </c>
      <c r="AF345" t="s">
        <v>74</v>
      </c>
      <c r="AG345">
        <v>14</v>
      </c>
      <c r="AH345">
        <v>11</v>
      </c>
      <c r="AI345">
        <v>14</v>
      </c>
      <c r="AJ345">
        <v>0</v>
      </c>
      <c r="AK345">
        <v>8</v>
      </c>
      <c r="AL345" t="s">
        <v>4897</v>
      </c>
      <c r="AM345" t="s">
        <v>4898</v>
      </c>
      <c r="AN345" t="s">
        <v>4899</v>
      </c>
      <c r="AO345" t="s">
        <v>4900</v>
      </c>
      <c r="AP345" t="s">
        <v>74</v>
      </c>
      <c r="AQ345" t="s">
        <v>74</v>
      </c>
      <c r="AR345" t="s">
        <v>4901</v>
      </c>
      <c r="AS345" t="s">
        <v>4902</v>
      </c>
      <c r="AT345" t="s">
        <v>566</v>
      </c>
      <c r="AU345">
        <v>2003</v>
      </c>
      <c r="AV345">
        <v>55</v>
      </c>
      <c r="AW345">
        <v>1</v>
      </c>
      <c r="AX345" t="s">
        <v>74</v>
      </c>
      <c r="AY345" t="s">
        <v>74</v>
      </c>
      <c r="AZ345" t="s">
        <v>74</v>
      </c>
      <c r="BA345" t="s">
        <v>74</v>
      </c>
      <c r="BB345">
        <v>106</v>
      </c>
      <c r="BC345">
        <v>111</v>
      </c>
      <c r="BD345" t="s">
        <v>74</v>
      </c>
      <c r="BE345" t="s">
        <v>4903</v>
      </c>
      <c r="BF345" t="str">
        <f>HYPERLINK("http://dx.doi.org/10.1034/j.1600-0870.2003.201518.x","http://dx.doi.org/10.1034/j.1600-0870.2003.201518.x")</f>
        <v>http://dx.doi.org/10.1034/j.1600-0870.2003.201518.x</v>
      </c>
      <c r="BG345" t="s">
        <v>74</v>
      </c>
      <c r="BH345" t="s">
        <v>74</v>
      </c>
      <c r="BI345">
        <v>6</v>
      </c>
      <c r="BJ345" t="s">
        <v>2497</v>
      </c>
      <c r="BK345" t="s">
        <v>569</v>
      </c>
      <c r="BL345" t="s">
        <v>2497</v>
      </c>
      <c r="BM345" t="s">
        <v>4904</v>
      </c>
      <c r="BN345" t="s">
        <v>74</v>
      </c>
      <c r="BO345" t="s">
        <v>4905</v>
      </c>
      <c r="BP345" t="s">
        <v>74</v>
      </c>
      <c r="BQ345" t="s">
        <v>74</v>
      </c>
      <c r="BR345" t="s">
        <v>98</v>
      </c>
      <c r="BS345" t="s">
        <v>4906</v>
      </c>
      <c r="BT345" t="str">
        <f>HYPERLINK("https%3A%2F%2Fwww.webofscience.com%2Fwos%2Fwoscc%2Ffull-record%2FWOS:000180811000007","View Full Record in Web of Science")</f>
        <v>View Full Record in Web of Science</v>
      </c>
    </row>
    <row r="346" spans="1:72" x14ac:dyDescent="0.15">
      <c r="A346" t="s">
        <v>552</v>
      </c>
      <c r="B346" t="s">
        <v>4907</v>
      </c>
      <c r="C346" t="s">
        <v>74</v>
      </c>
      <c r="D346" t="s">
        <v>74</v>
      </c>
      <c r="E346" t="s">
        <v>74</v>
      </c>
      <c r="F346" t="s">
        <v>4907</v>
      </c>
      <c r="G346" t="s">
        <v>74</v>
      </c>
      <c r="H346" t="s">
        <v>74</v>
      </c>
      <c r="I346" t="s">
        <v>4908</v>
      </c>
      <c r="J346" t="s">
        <v>4909</v>
      </c>
      <c r="K346" t="s">
        <v>74</v>
      </c>
      <c r="L346" t="s">
        <v>74</v>
      </c>
      <c r="M346" t="s">
        <v>78</v>
      </c>
      <c r="N346" t="s">
        <v>775</v>
      </c>
      <c r="O346" t="s">
        <v>74</v>
      </c>
      <c r="P346" t="s">
        <v>74</v>
      </c>
      <c r="Q346" t="s">
        <v>74</v>
      </c>
      <c r="R346" t="s">
        <v>74</v>
      </c>
      <c r="S346" t="s">
        <v>74</v>
      </c>
      <c r="T346" t="s">
        <v>74</v>
      </c>
      <c r="U346" t="s">
        <v>74</v>
      </c>
      <c r="V346" t="s">
        <v>74</v>
      </c>
      <c r="W346" t="s">
        <v>4910</v>
      </c>
      <c r="X346" t="s">
        <v>170</v>
      </c>
      <c r="Y346" t="s">
        <v>4911</v>
      </c>
      <c r="Z346" t="s">
        <v>74</v>
      </c>
      <c r="AA346" t="s">
        <v>4912</v>
      </c>
      <c r="AB346" t="s">
        <v>4913</v>
      </c>
      <c r="AC346" t="s">
        <v>74</v>
      </c>
      <c r="AD346" t="s">
        <v>74</v>
      </c>
      <c r="AE346" t="s">
        <v>74</v>
      </c>
      <c r="AF346" t="s">
        <v>74</v>
      </c>
      <c r="AG346">
        <v>22</v>
      </c>
      <c r="AH346">
        <v>0</v>
      </c>
      <c r="AI346">
        <v>0</v>
      </c>
      <c r="AJ346">
        <v>0</v>
      </c>
      <c r="AK346">
        <v>0</v>
      </c>
      <c r="AL346" t="s">
        <v>4914</v>
      </c>
      <c r="AM346" t="s">
        <v>2113</v>
      </c>
      <c r="AN346" t="s">
        <v>4915</v>
      </c>
      <c r="AO346" t="s">
        <v>4916</v>
      </c>
      <c r="AP346" t="s">
        <v>74</v>
      </c>
      <c r="AQ346" t="s">
        <v>74</v>
      </c>
      <c r="AR346" t="s">
        <v>4909</v>
      </c>
      <c r="AS346" t="s">
        <v>4917</v>
      </c>
      <c r="AT346" t="s">
        <v>74</v>
      </c>
      <c r="AU346">
        <v>2003</v>
      </c>
      <c r="AV346">
        <v>57</v>
      </c>
      <c r="AW346">
        <v>3</v>
      </c>
      <c r="AX346" t="s">
        <v>74</v>
      </c>
      <c r="AY346" t="s">
        <v>74</v>
      </c>
      <c r="AZ346" t="s">
        <v>74</v>
      </c>
      <c r="BA346" t="s">
        <v>74</v>
      </c>
      <c r="BB346">
        <v>143</v>
      </c>
      <c r="BC346">
        <v>157</v>
      </c>
      <c r="BD346" t="s">
        <v>74</v>
      </c>
      <c r="BE346" t="s">
        <v>74</v>
      </c>
      <c r="BF346" t="s">
        <v>74</v>
      </c>
      <c r="BG346" t="s">
        <v>74</v>
      </c>
      <c r="BH346" t="s">
        <v>74</v>
      </c>
      <c r="BI346">
        <v>15</v>
      </c>
      <c r="BJ346" t="s">
        <v>4918</v>
      </c>
      <c r="BK346" t="s">
        <v>4919</v>
      </c>
      <c r="BL346" t="s">
        <v>4918</v>
      </c>
      <c r="BM346" t="s">
        <v>4920</v>
      </c>
      <c r="BN346" t="s">
        <v>74</v>
      </c>
      <c r="BO346" t="s">
        <v>74</v>
      </c>
      <c r="BP346" t="s">
        <v>74</v>
      </c>
      <c r="BQ346" t="s">
        <v>74</v>
      </c>
      <c r="BR346" t="s">
        <v>98</v>
      </c>
      <c r="BS346" t="s">
        <v>4921</v>
      </c>
      <c r="BT346" t="str">
        <f>HYPERLINK("https%3A%2F%2Fwww.webofscience.com%2Fwos%2Fwoscc%2Ffull-record%2FWOS:000187638000003","View Full Record in Web of Science")</f>
        <v>View Full Record in Web of Science</v>
      </c>
    </row>
    <row r="347" spans="1:72" x14ac:dyDescent="0.15">
      <c r="A347" t="s">
        <v>552</v>
      </c>
      <c r="B347" t="s">
        <v>4922</v>
      </c>
      <c r="C347" t="s">
        <v>74</v>
      </c>
      <c r="D347" t="s">
        <v>74</v>
      </c>
      <c r="E347" t="s">
        <v>74</v>
      </c>
      <c r="F347" t="s">
        <v>4922</v>
      </c>
      <c r="G347" t="s">
        <v>74</v>
      </c>
      <c r="H347" t="s">
        <v>74</v>
      </c>
      <c r="I347" t="s">
        <v>4923</v>
      </c>
      <c r="J347" t="s">
        <v>4924</v>
      </c>
      <c r="K347" t="s">
        <v>74</v>
      </c>
      <c r="L347" t="s">
        <v>74</v>
      </c>
      <c r="M347" t="s">
        <v>78</v>
      </c>
      <c r="N347" t="s">
        <v>775</v>
      </c>
      <c r="O347" t="s">
        <v>74</v>
      </c>
      <c r="P347" t="s">
        <v>74</v>
      </c>
      <c r="Q347" t="s">
        <v>74</v>
      </c>
      <c r="R347" t="s">
        <v>74</v>
      </c>
      <c r="S347" t="s">
        <v>74</v>
      </c>
      <c r="T347" t="s">
        <v>74</v>
      </c>
      <c r="U347" t="s">
        <v>4925</v>
      </c>
      <c r="V347" t="s">
        <v>4926</v>
      </c>
      <c r="W347" t="s">
        <v>4927</v>
      </c>
      <c r="X347" t="s">
        <v>4928</v>
      </c>
      <c r="Y347" t="s">
        <v>4929</v>
      </c>
      <c r="Z347" t="s">
        <v>4930</v>
      </c>
      <c r="AA347" t="s">
        <v>74</v>
      </c>
      <c r="AB347" t="s">
        <v>74</v>
      </c>
      <c r="AC347" t="s">
        <v>74</v>
      </c>
      <c r="AD347" t="s">
        <v>74</v>
      </c>
      <c r="AE347" t="s">
        <v>74</v>
      </c>
      <c r="AF347" t="s">
        <v>74</v>
      </c>
      <c r="AG347">
        <v>44</v>
      </c>
      <c r="AH347">
        <v>16</v>
      </c>
      <c r="AI347">
        <v>20</v>
      </c>
      <c r="AJ347">
        <v>0</v>
      </c>
      <c r="AK347">
        <v>1</v>
      </c>
      <c r="AL347" t="s">
        <v>4609</v>
      </c>
      <c r="AM347" t="s">
        <v>4610</v>
      </c>
      <c r="AN347" t="s">
        <v>4611</v>
      </c>
      <c r="AO347" t="s">
        <v>4931</v>
      </c>
      <c r="AP347" t="s">
        <v>4932</v>
      </c>
      <c r="AQ347" t="s">
        <v>74</v>
      </c>
      <c r="AR347" t="s">
        <v>4933</v>
      </c>
      <c r="AS347" t="s">
        <v>4934</v>
      </c>
      <c r="AT347" t="s">
        <v>74</v>
      </c>
      <c r="AU347">
        <v>2003</v>
      </c>
      <c r="AV347">
        <v>75</v>
      </c>
      <c r="AW347" t="s">
        <v>1866</v>
      </c>
      <c r="AX347" t="s">
        <v>74</v>
      </c>
      <c r="AY347" t="s">
        <v>74</v>
      </c>
      <c r="AZ347" t="s">
        <v>74</v>
      </c>
      <c r="BA347" t="s">
        <v>74</v>
      </c>
      <c r="BB347">
        <v>105</v>
      </c>
      <c r="BC347">
        <v>116</v>
      </c>
      <c r="BD347" t="s">
        <v>74</v>
      </c>
      <c r="BE347" t="s">
        <v>4935</v>
      </c>
      <c r="BF347" t="str">
        <f>HYPERLINK("http://dx.doi.org/10.1007/s00704-003-0729-5","http://dx.doi.org/10.1007/s00704-003-0729-5")</f>
        <v>http://dx.doi.org/10.1007/s00704-003-0729-5</v>
      </c>
      <c r="BG347" t="s">
        <v>74</v>
      </c>
      <c r="BH347" t="s">
        <v>74</v>
      </c>
      <c r="BI347">
        <v>12</v>
      </c>
      <c r="BJ347" t="s">
        <v>1237</v>
      </c>
      <c r="BK347" t="s">
        <v>569</v>
      </c>
      <c r="BL347" t="s">
        <v>1237</v>
      </c>
      <c r="BM347" t="s">
        <v>4936</v>
      </c>
      <c r="BN347" t="s">
        <v>74</v>
      </c>
      <c r="BO347" t="s">
        <v>74</v>
      </c>
      <c r="BP347" t="s">
        <v>74</v>
      </c>
      <c r="BQ347" t="s">
        <v>74</v>
      </c>
      <c r="BR347" t="s">
        <v>98</v>
      </c>
      <c r="BS347" t="s">
        <v>4937</v>
      </c>
      <c r="BT347" t="str">
        <f>HYPERLINK("https%3A%2F%2Fwww.webofscience.com%2Fwos%2Fwoscc%2Ffull-record%2FWOS:000183461000009","View Full Record in Web of Science")</f>
        <v>View Full Record in Web of Science</v>
      </c>
    </row>
    <row r="348" spans="1:72" x14ac:dyDescent="0.15">
      <c r="A348" t="s">
        <v>552</v>
      </c>
      <c r="B348" t="s">
        <v>4938</v>
      </c>
      <c r="C348" t="s">
        <v>74</v>
      </c>
      <c r="D348" t="s">
        <v>74</v>
      </c>
      <c r="E348" t="s">
        <v>74</v>
      </c>
      <c r="F348" t="s">
        <v>4938</v>
      </c>
      <c r="G348" t="s">
        <v>74</v>
      </c>
      <c r="H348" t="s">
        <v>74</v>
      </c>
      <c r="I348" t="s">
        <v>4939</v>
      </c>
      <c r="J348" t="s">
        <v>4924</v>
      </c>
      <c r="K348" t="s">
        <v>74</v>
      </c>
      <c r="L348" t="s">
        <v>74</v>
      </c>
      <c r="M348" t="s">
        <v>78</v>
      </c>
      <c r="N348" t="s">
        <v>775</v>
      </c>
      <c r="O348" t="s">
        <v>74</v>
      </c>
      <c r="P348" t="s">
        <v>74</v>
      </c>
      <c r="Q348" t="s">
        <v>74</v>
      </c>
      <c r="R348" t="s">
        <v>74</v>
      </c>
      <c r="S348" t="s">
        <v>74</v>
      </c>
      <c r="T348" t="s">
        <v>74</v>
      </c>
      <c r="U348" t="s">
        <v>4940</v>
      </c>
      <c r="V348" t="s">
        <v>4941</v>
      </c>
      <c r="W348" t="s">
        <v>4942</v>
      </c>
      <c r="X348" t="s">
        <v>4943</v>
      </c>
      <c r="Y348" t="s">
        <v>4944</v>
      </c>
      <c r="Z348" t="s">
        <v>4945</v>
      </c>
      <c r="AA348" t="s">
        <v>4946</v>
      </c>
      <c r="AB348" t="s">
        <v>4947</v>
      </c>
      <c r="AC348" t="s">
        <v>74</v>
      </c>
      <c r="AD348" t="s">
        <v>74</v>
      </c>
      <c r="AE348" t="s">
        <v>74</v>
      </c>
      <c r="AF348" t="s">
        <v>74</v>
      </c>
      <c r="AG348">
        <v>23</v>
      </c>
      <c r="AH348">
        <v>11</v>
      </c>
      <c r="AI348">
        <v>15</v>
      </c>
      <c r="AJ348">
        <v>0</v>
      </c>
      <c r="AK348">
        <v>14</v>
      </c>
      <c r="AL348" t="s">
        <v>4609</v>
      </c>
      <c r="AM348" t="s">
        <v>4610</v>
      </c>
      <c r="AN348" t="s">
        <v>4611</v>
      </c>
      <c r="AO348" t="s">
        <v>4931</v>
      </c>
      <c r="AP348" t="s">
        <v>4932</v>
      </c>
      <c r="AQ348" t="s">
        <v>74</v>
      </c>
      <c r="AR348" t="s">
        <v>4933</v>
      </c>
      <c r="AS348" t="s">
        <v>4934</v>
      </c>
      <c r="AT348" t="s">
        <v>74</v>
      </c>
      <c r="AU348">
        <v>2003</v>
      </c>
      <c r="AV348">
        <v>74</v>
      </c>
      <c r="AW348" t="s">
        <v>1424</v>
      </c>
      <c r="AX348" t="s">
        <v>74</v>
      </c>
      <c r="AY348" t="s">
        <v>74</v>
      </c>
      <c r="AZ348" t="s">
        <v>74</v>
      </c>
      <c r="BA348" t="s">
        <v>74</v>
      </c>
      <c r="BB348">
        <v>203</v>
      </c>
      <c r="BC348">
        <v>215</v>
      </c>
      <c r="BD348" t="s">
        <v>74</v>
      </c>
      <c r="BE348" t="s">
        <v>4948</v>
      </c>
      <c r="BF348" t="str">
        <f>HYPERLINK("http://dx.doi.org/10.1007/s00704-002-0708-2","http://dx.doi.org/10.1007/s00704-002-0708-2")</f>
        <v>http://dx.doi.org/10.1007/s00704-002-0708-2</v>
      </c>
      <c r="BG348" t="s">
        <v>74</v>
      </c>
      <c r="BH348" t="s">
        <v>74</v>
      </c>
      <c r="BI348">
        <v>13</v>
      </c>
      <c r="BJ348" t="s">
        <v>1237</v>
      </c>
      <c r="BK348" t="s">
        <v>569</v>
      </c>
      <c r="BL348" t="s">
        <v>1237</v>
      </c>
      <c r="BM348" t="s">
        <v>4949</v>
      </c>
      <c r="BN348" t="s">
        <v>74</v>
      </c>
      <c r="BO348" t="s">
        <v>74</v>
      </c>
      <c r="BP348" t="s">
        <v>74</v>
      </c>
      <c r="BQ348" t="s">
        <v>74</v>
      </c>
      <c r="BR348" t="s">
        <v>98</v>
      </c>
      <c r="BS348" t="s">
        <v>4950</v>
      </c>
      <c r="BT348" t="str">
        <f>HYPERLINK("https%3A%2F%2Fwww.webofscience.com%2Fwos%2Fwoscc%2Ffull-record%2FWOS:000182199700005","View Full Record in Web of Science")</f>
        <v>View Full Record in Web of Science</v>
      </c>
    </row>
    <row r="349" spans="1:72" x14ac:dyDescent="0.15">
      <c r="A349" t="s">
        <v>552</v>
      </c>
      <c r="B349" t="s">
        <v>4951</v>
      </c>
      <c r="C349" t="s">
        <v>74</v>
      </c>
      <c r="D349" t="s">
        <v>74</v>
      </c>
      <c r="E349" t="s">
        <v>74</v>
      </c>
      <c r="F349" t="s">
        <v>4951</v>
      </c>
      <c r="G349" t="s">
        <v>74</v>
      </c>
      <c r="H349" t="s">
        <v>74</v>
      </c>
      <c r="I349" t="s">
        <v>4952</v>
      </c>
      <c r="J349" t="s">
        <v>4924</v>
      </c>
      <c r="K349" t="s">
        <v>74</v>
      </c>
      <c r="L349" t="s">
        <v>74</v>
      </c>
      <c r="M349" t="s">
        <v>78</v>
      </c>
      <c r="N349" t="s">
        <v>775</v>
      </c>
      <c r="O349" t="s">
        <v>74</v>
      </c>
      <c r="P349" t="s">
        <v>74</v>
      </c>
      <c r="Q349" t="s">
        <v>74</v>
      </c>
      <c r="R349" t="s">
        <v>74</v>
      </c>
      <c r="S349" t="s">
        <v>74</v>
      </c>
      <c r="T349" t="s">
        <v>74</v>
      </c>
      <c r="U349" t="s">
        <v>4953</v>
      </c>
      <c r="V349" t="s">
        <v>4954</v>
      </c>
      <c r="W349" t="s">
        <v>583</v>
      </c>
      <c r="X349" t="s">
        <v>584</v>
      </c>
      <c r="Y349" t="s">
        <v>4955</v>
      </c>
      <c r="Z349" t="s">
        <v>74</v>
      </c>
      <c r="AA349" t="s">
        <v>4956</v>
      </c>
      <c r="AB349" t="s">
        <v>4957</v>
      </c>
      <c r="AC349" t="s">
        <v>74</v>
      </c>
      <c r="AD349" t="s">
        <v>74</v>
      </c>
      <c r="AE349" t="s">
        <v>74</v>
      </c>
      <c r="AF349" t="s">
        <v>74</v>
      </c>
      <c r="AG349">
        <v>29</v>
      </c>
      <c r="AH349">
        <v>3</v>
      </c>
      <c r="AI349">
        <v>4</v>
      </c>
      <c r="AJ349">
        <v>0</v>
      </c>
      <c r="AK349">
        <v>1</v>
      </c>
      <c r="AL349" t="s">
        <v>4958</v>
      </c>
      <c r="AM349" t="s">
        <v>4959</v>
      </c>
      <c r="AN349" t="s">
        <v>4960</v>
      </c>
      <c r="AO349" t="s">
        <v>4931</v>
      </c>
      <c r="AP349" t="s">
        <v>74</v>
      </c>
      <c r="AQ349" t="s">
        <v>74</v>
      </c>
      <c r="AR349" t="s">
        <v>4933</v>
      </c>
      <c r="AS349" t="s">
        <v>4934</v>
      </c>
      <c r="AT349" t="s">
        <v>74</v>
      </c>
      <c r="AU349">
        <v>2003</v>
      </c>
      <c r="AV349">
        <v>74</v>
      </c>
      <c r="AW349" t="s">
        <v>1424</v>
      </c>
      <c r="AX349" t="s">
        <v>74</v>
      </c>
      <c r="AY349" t="s">
        <v>74</v>
      </c>
      <c r="AZ349" t="s">
        <v>74</v>
      </c>
      <c r="BA349" t="s">
        <v>74</v>
      </c>
      <c r="BB349">
        <v>255</v>
      </c>
      <c r="BC349">
        <v>271</v>
      </c>
      <c r="BD349" t="s">
        <v>74</v>
      </c>
      <c r="BE349" t="s">
        <v>4961</v>
      </c>
      <c r="BF349" t="str">
        <f>HYPERLINK("http://dx.doi.org/10.1007/s00704-002-0680-x","http://dx.doi.org/10.1007/s00704-002-0680-x")</f>
        <v>http://dx.doi.org/10.1007/s00704-002-0680-x</v>
      </c>
      <c r="BG349" t="s">
        <v>74</v>
      </c>
      <c r="BH349" t="s">
        <v>74</v>
      </c>
      <c r="BI349">
        <v>17</v>
      </c>
      <c r="BJ349" t="s">
        <v>1237</v>
      </c>
      <c r="BK349" t="s">
        <v>569</v>
      </c>
      <c r="BL349" t="s">
        <v>1237</v>
      </c>
      <c r="BM349" t="s">
        <v>4949</v>
      </c>
      <c r="BN349" t="s">
        <v>74</v>
      </c>
      <c r="BO349" t="s">
        <v>74</v>
      </c>
      <c r="BP349" t="s">
        <v>74</v>
      </c>
      <c r="BQ349" t="s">
        <v>74</v>
      </c>
      <c r="BR349" t="s">
        <v>98</v>
      </c>
      <c r="BS349" t="s">
        <v>4962</v>
      </c>
      <c r="BT349" t="str">
        <f>HYPERLINK("https%3A%2F%2Fwww.webofscience.com%2Fwos%2Fwoscc%2Ffull-record%2FWOS:000182199700010","View Full Record in Web of Science")</f>
        <v>View Full Record in Web of Science</v>
      </c>
    </row>
    <row r="350" spans="1:72" x14ac:dyDescent="0.15">
      <c r="A350" t="s">
        <v>72</v>
      </c>
      <c r="B350" t="s">
        <v>4963</v>
      </c>
      <c r="C350" t="s">
        <v>74</v>
      </c>
      <c r="D350" t="s">
        <v>4964</v>
      </c>
      <c r="E350" t="s">
        <v>74</v>
      </c>
      <c r="F350" t="s">
        <v>4963</v>
      </c>
      <c r="G350" t="s">
        <v>74</v>
      </c>
      <c r="H350" t="s">
        <v>74</v>
      </c>
      <c r="I350" t="s">
        <v>4965</v>
      </c>
      <c r="J350" t="s">
        <v>4966</v>
      </c>
      <c r="K350" t="s">
        <v>4967</v>
      </c>
      <c r="L350" t="s">
        <v>74</v>
      </c>
      <c r="M350" t="s">
        <v>78</v>
      </c>
      <c r="N350" t="s">
        <v>79</v>
      </c>
      <c r="O350" t="s">
        <v>4968</v>
      </c>
      <c r="P350" t="s">
        <v>4969</v>
      </c>
      <c r="Q350" t="s">
        <v>4970</v>
      </c>
      <c r="R350" t="s">
        <v>74</v>
      </c>
      <c r="S350" t="s">
        <v>74</v>
      </c>
      <c r="T350" t="s">
        <v>74</v>
      </c>
      <c r="U350" t="s">
        <v>4971</v>
      </c>
      <c r="V350" t="s">
        <v>4972</v>
      </c>
      <c r="W350" t="s">
        <v>4973</v>
      </c>
      <c r="X350" t="s">
        <v>4758</v>
      </c>
      <c r="Y350" t="s">
        <v>4974</v>
      </c>
      <c r="Z350" t="s">
        <v>74</v>
      </c>
      <c r="AA350" t="s">
        <v>74</v>
      </c>
      <c r="AB350" t="s">
        <v>74</v>
      </c>
      <c r="AC350" t="s">
        <v>74</v>
      </c>
      <c r="AD350" t="s">
        <v>74</v>
      </c>
      <c r="AE350" t="s">
        <v>74</v>
      </c>
      <c r="AF350" t="s">
        <v>74</v>
      </c>
      <c r="AG350">
        <v>25</v>
      </c>
      <c r="AH350">
        <v>16</v>
      </c>
      <c r="AI350">
        <v>17</v>
      </c>
      <c r="AJ350">
        <v>0</v>
      </c>
      <c r="AK350">
        <v>1</v>
      </c>
      <c r="AL350" t="s">
        <v>4975</v>
      </c>
      <c r="AM350" t="s">
        <v>4976</v>
      </c>
      <c r="AN350" t="s">
        <v>4977</v>
      </c>
      <c r="AO350" t="s">
        <v>4978</v>
      </c>
      <c r="AP350" t="s">
        <v>74</v>
      </c>
      <c r="AQ350" t="s">
        <v>4979</v>
      </c>
      <c r="AR350" t="s">
        <v>4980</v>
      </c>
      <c r="AS350" t="s">
        <v>74</v>
      </c>
      <c r="AT350" t="s">
        <v>74</v>
      </c>
      <c r="AU350">
        <v>2003</v>
      </c>
      <c r="AV350">
        <v>539</v>
      </c>
      <c r="AW350" t="s">
        <v>74</v>
      </c>
      <c r="AX350" t="s">
        <v>74</v>
      </c>
      <c r="AY350" t="s">
        <v>74</v>
      </c>
      <c r="AZ350" t="s">
        <v>74</v>
      </c>
      <c r="BA350" t="s">
        <v>74</v>
      </c>
      <c r="BB350">
        <v>221</v>
      </c>
      <c r="BC350">
        <v>230</v>
      </c>
      <c r="BD350" t="s">
        <v>74</v>
      </c>
      <c r="BE350" t="s">
        <v>74</v>
      </c>
      <c r="BF350" t="s">
        <v>74</v>
      </c>
      <c r="BG350" t="s">
        <v>74</v>
      </c>
      <c r="BH350" t="s">
        <v>74</v>
      </c>
      <c r="BI350">
        <v>10</v>
      </c>
      <c r="BJ350" t="s">
        <v>4840</v>
      </c>
      <c r="BK350" t="s">
        <v>95</v>
      </c>
      <c r="BL350" t="s">
        <v>4840</v>
      </c>
      <c r="BM350" t="s">
        <v>4981</v>
      </c>
      <c r="BN350" t="s">
        <v>74</v>
      </c>
      <c r="BO350" t="s">
        <v>74</v>
      </c>
      <c r="BP350" t="s">
        <v>74</v>
      </c>
      <c r="BQ350" t="s">
        <v>74</v>
      </c>
      <c r="BR350" t="s">
        <v>98</v>
      </c>
      <c r="BS350" t="s">
        <v>4982</v>
      </c>
      <c r="BT350" t="str">
        <f>HYPERLINK("https%3A%2F%2Fwww.webofscience.com%2Fwos%2Fwoscc%2Ffull-record%2FWOS:000189500300023","View Full Record in Web of Science")</f>
        <v>View Full Record in Web of Science</v>
      </c>
    </row>
    <row r="351" spans="1:72" x14ac:dyDescent="0.15">
      <c r="A351" t="s">
        <v>72</v>
      </c>
      <c r="B351" t="s">
        <v>4983</v>
      </c>
      <c r="C351" t="s">
        <v>74</v>
      </c>
      <c r="D351" t="s">
        <v>4964</v>
      </c>
      <c r="E351" t="s">
        <v>74</v>
      </c>
      <c r="F351" t="s">
        <v>4983</v>
      </c>
      <c r="G351" t="s">
        <v>74</v>
      </c>
      <c r="H351" t="s">
        <v>74</v>
      </c>
      <c r="I351" t="s">
        <v>4984</v>
      </c>
      <c r="J351" t="s">
        <v>4966</v>
      </c>
      <c r="K351" t="s">
        <v>4967</v>
      </c>
      <c r="L351" t="s">
        <v>74</v>
      </c>
      <c r="M351" t="s">
        <v>78</v>
      </c>
      <c r="N351" t="s">
        <v>79</v>
      </c>
      <c r="O351" t="s">
        <v>4968</v>
      </c>
      <c r="P351" t="s">
        <v>4969</v>
      </c>
      <c r="Q351" t="s">
        <v>4970</v>
      </c>
      <c r="R351" t="s">
        <v>74</v>
      </c>
      <c r="S351" t="s">
        <v>74</v>
      </c>
      <c r="T351" t="s">
        <v>74</v>
      </c>
      <c r="U351" t="s">
        <v>74</v>
      </c>
      <c r="V351" t="s">
        <v>4985</v>
      </c>
      <c r="W351" t="s">
        <v>4986</v>
      </c>
      <c r="X351" t="s">
        <v>4987</v>
      </c>
      <c r="Y351" t="s">
        <v>4988</v>
      </c>
      <c r="Z351" t="s">
        <v>74</v>
      </c>
      <c r="AA351" t="s">
        <v>74</v>
      </c>
      <c r="AB351" t="s">
        <v>4760</v>
      </c>
      <c r="AC351" t="s">
        <v>74</v>
      </c>
      <c r="AD351" t="s">
        <v>74</v>
      </c>
      <c r="AE351" t="s">
        <v>74</v>
      </c>
      <c r="AF351" t="s">
        <v>74</v>
      </c>
      <c r="AG351">
        <v>10</v>
      </c>
      <c r="AH351">
        <v>5</v>
      </c>
      <c r="AI351">
        <v>5</v>
      </c>
      <c r="AJ351">
        <v>0</v>
      </c>
      <c r="AK351">
        <v>0</v>
      </c>
      <c r="AL351" t="s">
        <v>4975</v>
      </c>
      <c r="AM351" t="s">
        <v>4976</v>
      </c>
      <c r="AN351" t="s">
        <v>4977</v>
      </c>
      <c r="AO351" t="s">
        <v>4978</v>
      </c>
      <c r="AP351" t="s">
        <v>74</v>
      </c>
      <c r="AQ351" t="s">
        <v>4979</v>
      </c>
      <c r="AR351" t="s">
        <v>4980</v>
      </c>
      <c r="AS351" t="s">
        <v>74</v>
      </c>
      <c r="AT351" t="s">
        <v>74</v>
      </c>
      <c r="AU351">
        <v>2003</v>
      </c>
      <c r="AV351">
        <v>539</v>
      </c>
      <c r="AW351" t="s">
        <v>74</v>
      </c>
      <c r="AX351" t="s">
        <v>74</v>
      </c>
      <c r="AY351" t="s">
        <v>74</v>
      </c>
      <c r="AZ351" t="s">
        <v>74</v>
      </c>
      <c r="BA351" t="s">
        <v>74</v>
      </c>
      <c r="BB351">
        <v>497</v>
      </c>
      <c r="BC351">
        <v>501</v>
      </c>
      <c r="BD351" t="s">
        <v>74</v>
      </c>
      <c r="BE351" t="s">
        <v>74</v>
      </c>
      <c r="BF351" t="s">
        <v>74</v>
      </c>
      <c r="BG351" t="s">
        <v>74</v>
      </c>
      <c r="BH351" t="s">
        <v>74</v>
      </c>
      <c r="BI351">
        <v>5</v>
      </c>
      <c r="BJ351" t="s">
        <v>4840</v>
      </c>
      <c r="BK351" t="s">
        <v>95</v>
      </c>
      <c r="BL351" t="s">
        <v>4840</v>
      </c>
      <c r="BM351" t="s">
        <v>4981</v>
      </c>
      <c r="BN351" t="s">
        <v>74</v>
      </c>
      <c r="BO351" t="s">
        <v>74</v>
      </c>
      <c r="BP351" t="s">
        <v>74</v>
      </c>
      <c r="BQ351" t="s">
        <v>74</v>
      </c>
      <c r="BR351" t="s">
        <v>98</v>
      </c>
      <c r="BS351" t="s">
        <v>4989</v>
      </c>
      <c r="BT351" t="str">
        <f>HYPERLINK("https%3A%2F%2Fwww.webofscience.com%2Fwos%2Fwoscc%2Ffull-record%2FWOS:000189500300070","View Full Record in Web of Science")</f>
        <v>View Full Record in Web of Science</v>
      </c>
    </row>
    <row r="352" spans="1:72" x14ac:dyDescent="0.15">
      <c r="A352" t="s">
        <v>72</v>
      </c>
      <c r="B352" t="s">
        <v>4990</v>
      </c>
      <c r="C352" t="s">
        <v>74</v>
      </c>
      <c r="D352" t="s">
        <v>4964</v>
      </c>
      <c r="E352" t="s">
        <v>74</v>
      </c>
      <c r="F352" t="s">
        <v>4990</v>
      </c>
      <c r="G352" t="s">
        <v>74</v>
      </c>
      <c r="H352" t="s">
        <v>74</v>
      </c>
      <c r="I352" t="s">
        <v>4991</v>
      </c>
      <c r="J352" t="s">
        <v>4966</v>
      </c>
      <c r="K352" t="s">
        <v>4992</v>
      </c>
      <c r="L352" t="s">
        <v>74</v>
      </c>
      <c r="M352" t="s">
        <v>78</v>
      </c>
      <c r="N352" t="s">
        <v>79</v>
      </c>
      <c r="O352" t="s">
        <v>4968</v>
      </c>
      <c r="P352" t="s">
        <v>4969</v>
      </c>
      <c r="Q352" t="s">
        <v>4970</v>
      </c>
      <c r="R352" t="s">
        <v>74</v>
      </c>
      <c r="S352" t="s">
        <v>74</v>
      </c>
      <c r="T352" t="s">
        <v>74</v>
      </c>
      <c r="U352" t="s">
        <v>4993</v>
      </c>
      <c r="V352" t="s">
        <v>4994</v>
      </c>
      <c r="W352" t="s">
        <v>4986</v>
      </c>
      <c r="X352" t="s">
        <v>4987</v>
      </c>
      <c r="Y352" t="s">
        <v>4995</v>
      </c>
      <c r="Z352" t="s">
        <v>4996</v>
      </c>
      <c r="AA352" t="s">
        <v>74</v>
      </c>
      <c r="AB352" t="s">
        <v>4997</v>
      </c>
      <c r="AC352" t="s">
        <v>74</v>
      </c>
      <c r="AD352" t="s">
        <v>74</v>
      </c>
      <c r="AE352" t="s">
        <v>74</v>
      </c>
      <c r="AF352" t="s">
        <v>74</v>
      </c>
      <c r="AG352">
        <v>16</v>
      </c>
      <c r="AH352">
        <v>0</v>
      </c>
      <c r="AI352">
        <v>0</v>
      </c>
      <c r="AJ352">
        <v>0</v>
      </c>
      <c r="AK352">
        <v>0</v>
      </c>
      <c r="AL352" t="s">
        <v>4975</v>
      </c>
      <c r="AM352" t="s">
        <v>4976</v>
      </c>
      <c r="AN352" t="s">
        <v>4977</v>
      </c>
      <c r="AO352" t="s">
        <v>4978</v>
      </c>
      <c r="AP352" t="s">
        <v>74</v>
      </c>
      <c r="AQ352" t="s">
        <v>4979</v>
      </c>
      <c r="AR352" t="s">
        <v>4998</v>
      </c>
      <c r="AS352" t="s">
        <v>74</v>
      </c>
      <c r="AT352" t="s">
        <v>74</v>
      </c>
      <c r="AU352">
        <v>2003</v>
      </c>
      <c r="AV352">
        <v>539</v>
      </c>
      <c r="AW352" t="s">
        <v>74</v>
      </c>
      <c r="AX352" t="s">
        <v>74</v>
      </c>
      <c r="AY352" t="s">
        <v>74</v>
      </c>
      <c r="AZ352" t="s">
        <v>74</v>
      </c>
      <c r="BA352" t="s">
        <v>74</v>
      </c>
      <c r="BB352">
        <v>621</v>
      </c>
      <c r="BC352">
        <v>623</v>
      </c>
      <c r="BD352" t="s">
        <v>74</v>
      </c>
      <c r="BE352" t="s">
        <v>74</v>
      </c>
      <c r="BF352" t="s">
        <v>74</v>
      </c>
      <c r="BG352" t="s">
        <v>74</v>
      </c>
      <c r="BH352" t="s">
        <v>74</v>
      </c>
      <c r="BI352">
        <v>3</v>
      </c>
      <c r="BJ352" t="s">
        <v>4840</v>
      </c>
      <c r="BK352" t="s">
        <v>95</v>
      </c>
      <c r="BL352" t="s">
        <v>4840</v>
      </c>
      <c r="BM352" t="s">
        <v>4981</v>
      </c>
      <c r="BN352" t="s">
        <v>74</v>
      </c>
      <c r="BO352" t="s">
        <v>74</v>
      </c>
      <c r="BP352" t="s">
        <v>74</v>
      </c>
      <c r="BQ352" t="s">
        <v>74</v>
      </c>
      <c r="BR352" t="s">
        <v>98</v>
      </c>
      <c r="BS352" t="s">
        <v>4999</v>
      </c>
      <c r="BT352" t="str">
        <f>HYPERLINK("https%3A%2F%2Fwww.webofscience.com%2Fwos%2Fwoscc%2Ffull-record%2FWOS:000189500300094","View Full Record in Web of Science")</f>
        <v>View Full Record in Web of Science</v>
      </c>
    </row>
    <row r="353" spans="1:72" x14ac:dyDescent="0.15">
      <c r="A353" t="s">
        <v>903</v>
      </c>
      <c r="B353" t="s">
        <v>5000</v>
      </c>
      <c r="C353" t="s">
        <v>74</v>
      </c>
      <c r="D353" t="s">
        <v>5001</v>
      </c>
      <c r="E353" t="s">
        <v>74</v>
      </c>
      <c r="F353" t="s">
        <v>5000</v>
      </c>
      <c r="G353" t="s">
        <v>74</v>
      </c>
      <c r="H353" t="s">
        <v>74</v>
      </c>
      <c r="I353" t="s">
        <v>5002</v>
      </c>
      <c r="J353" t="s">
        <v>5003</v>
      </c>
      <c r="K353" t="s">
        <v>5004</v>
      </c>
      <c r="L353" t="s">
        <v>74</v>
      </c>
      <c r="M353" t="s">
        <v>78</v>
      </c>
      <c r="N353" t="s">
        <v>576</v>
      </c>
      <c r="O353" t="s">
        <v>5005</v>
      </c>
      <c r="P353" t="s">
        <v>2455</v>
      </c>
      <c r="Q353" t="s">
        <v>5006</v>
      </c>
      <c r="R353" t="s">
        <v>74</v>
      </c>
      <c r="S353" t="s">
        <v>5007</v>
      </c>
      <c r="T353" t="s">
        <v>5008</v>
      </c>
      <c r="U353" t="s">
        <v>5009</v>
      </c>
      <c r="V353" t="s">
        <v>5010</v>
      </c>
      <c r="W353" t="s">
        <v>5011</v>
      </c>
      <c r="X353" t="s">
        <v>2392</v>
      </c>
      <c r="Y353" t="s">
        <v>5012</v>
      </c>
      <c r="Z353" t="s">
        <v>5013</v>
      </c>
      <c r="AA353" t="s">
        <v>74</v>
      </c>
      <c r="AB353" t="s">
        <v>5014</v>
      </c>
      <c r="AC353" t="s">
        <v>74</v>
      </c>
      <c r="AD353" t="s">
        <v>74</v>
      </c>
      <c r="AE353" t="s">
        <v>74</v>
      </c>
      <c r="AF353" t="s">
        <v>74</v>
      </c>
      <c r="AG353">
        <v>85</v>
      </c>
      <c r="AH353">
        <v>25</v>
      </c>
      <c r="AI353">
        <v>27</v>
      </c>
      <c r="AJ353">
        <v>0</v>
      </c>
      <c r="AK353">
        <v>6</v>
      </c>
      <c r="AL353" t="s">
        <v>5015</v>
      </c>
      <c r="AM353" t="s">
        <v>5016</v>
      </c>
      <c r="AN353" t="s">
        <v>5017</v>
      </c>
      <c r="AO353" t="s">
        <v>5018</v>
      </c>
      <c r="AP353" t="s">
        <v>74</v>
      </c>
      <c r="AQ353" t="s">
        <v>5019</v>
      </c>
      <c r="AR353" t="s">
        <v>5020</v>
      </c>
      <c r="AS353" t="s">
        <v>5021</v>
      </c>
      <c r="AT353" t="s">
        <v>74</v>
      </c>
      <c r="AU353">
        <v>2003</v>
      </c>
      <c r="AV353" t="s">
        <v>74</v>
      </c>
      <c r="AW353">
        <v>70</v>
      </c>
      <c r="AX353" t="s">
        <v>74</v>
      </c>
      <c r="AY353" t="s">
        <v>74</v>
      </c>
      <c r="AZ353" t="s">
        <v>74</v>
      </c>
      <c r="BA353" t="s">
        <v>74</v>
      </c>
      <c r="BB353">
        <v>59</v>
      </c>
      <c r="BC353">
        <v>72</v>
      </c>
      <c r="BD353" t="s">
        <v>74</v>
      </c>
      <c r="BE353" t="s">
        <v>74</v>
      </c>
      <c r="BF353" t="s">
        <v>74</v>
      </c>
      <c r="BG353" t="s">
        <v>74</v>
      </c>
      <c r="BH353" t="s">
        <v>74</v>
      </c>
      <c r="BI353">
        <v>14</v>
      </c>
      <c r="BJ353" t="s">
        <v>3069</v>
      </c>
      <c r="BK353" t="s">
        <v>589</v>
      </c>
      <c r="BL353" t="s">
        <v>3069</v>
      </c>
      <c r="BM353" t="s">
        <v>5022</v>
      </c>
      <c r="BN353" t="s">
        <v>74</v>
      </c>
      <c r="BO353" t="s">
        <v>74</v>
      </c>
      <c r="BP353" t="s">
        <v>74</v>
      </c>
      <c r="BQ353" t="s">
        <v>74</v>
      </c>
      <c r="BR353" t="s">
        <v>98</v>
      </c>
      <c r="BS353" t="s">
        <v>5023</v>
      </c>
      <c r="BT353" t="str">
        <f>HYPERLINK("https%3A%2F%2Fwww.webofscience.com%2Fwos%2Fwoscc%2Ffull-record%2FWOS:000189467800005","View Full Record in Web of Science")</f>
        <v>View Full Record in Web of Science</v>
      </c>
    </row>
    <row r="354" spans="1:72" x14ac:dyDescent="0.15">
      <c r="A354" t="s">
        <v>72</v>
      </c>
      <c r="B354" t="s">
        <v>5024</v>
      </c>
      <c r="C354" t="s">
        <v>74</v>
      </c>
      <c r="D354" t="s">
        <v>5025</v>
      </c>
      <c r="E354" t="s">
        <v>74</v>
      </c>
      <c r="F354" t="s">
        <v>5024</v>
      </c>
      <c r="G354" t="s">
        <v>74</v>
      </c>
      <c r="H354" t="s">
        <v>74</v>
      </c>
      <c r="I354" t="s">
        <v>5026</v>
      </c>
      <c r="J354" t="s">
        <v>5027</v>
      </c>
      <c r="K354" t="s">
        <v>4155</v>
      </c>
      <c r="L354" t="s">
        <v>74</v>
      </c>
      <c r="M354" t="s">
        <v>78</v>
      </c>
      <c r="N354" t="s">
        <v>79</v>
      </c>
      <c r="O354" t="s">
        <v>5028</v>
      </c>
      <c r="P354" t="s">
        <v>5029</v>
      </c>
      <c r="Q354" t="s">
        <v>1830</v>
      </c>
      <c r="R354" t="s">
        <v>74</v>
      </c>
      <c r="S354" t="s">
        <v>74</v>
      </c>
      <c r="T354" t="s">
        <v>5030</v>
      </c>
      <c r="U354" t="s">
        <v>5031</v>
      </c>
      <c r="V354" t="s">
        <v>5032</v>
      </c>
      <c r="W354" t="s">
        <v>2931</v>
      </c>
      <c r="X354" t="s">
        <v>1694</v>
      </c>
      <c r="Y354" t="s">
        <v>5033</v>
      </c>
      <c r="Z354" t="s">
        <v>5034</v>
      </c>
      <c r="AA354" t="s">
        <v>74</v>
      </c>
      <c r="AB354" t="s">
        <v>735</v>
      </c>
      <c r="AC354" t="s">
        <v>74</v>
      </c>
      <c r="AD354" t="s">
        <v>74</v>
      </c>
      <c r="AE354" t="s">
        <v>74</v>
      </c>
      <c r="AF354" t="s">
        <v>74</v>
      </c>
      <c r="AG354">
        <v>37</v>
      </c>
      <c r="AH354">
        <v>0</v>
      </c>
      <c r="AI354">
        <v>0</v>
      </c>
      <c r="AJ354">
        <v>0</v>
      </c>
      <c r="AK354">
        <v>8</v>
      </c>
      <c r="AL354" t="s">
        <v>1838</v>
      </c>
      <c r="AM354" t="s">
        <v>1839</v>
      </c>
      <c r="AN354" t="s">
        <v>1840</v>
      </c>
      <c r="AO354" t="s">
        <v>1841</v>
      </c>
      <c r="AP354" t="s">
        <v>4168</v>
      </c>
      <c r="AQ354" t="s">
        <v>5035</v>
      </c>
      <c r="AR354" t="s">
        <v>4170</v>
      </c>
      <c r="AS354" t="s">
        <v>74</v>
      </c>
      <c r="AT354" t="s">
        <v>74</v>
      </c>
      <c r="AU354">
        <v>2003</v>
      </c>
      <c r="AV354">
        <v>5156</v>
      </c>
      <c r="AW354" t="s">
        <v>74</v>
      </c>
      <c r="AX354" t="s">
        <v>74</v>
      </c>
      <c r="AY354" t="s">
        <v>74</v>
      </c>
      <c r="AZ354" t="s">
        <v>74</v>
      </c>
      <c r="BA354" t="s">
        <v>74</v>
      </c>
      <c r="BB354">
        <v>245</v>
      </c>
      <c r="BC354">
        <v>253</v>
      </c>
      <c r="BD354" t="s">
        <v>74</v>
      </c>
      <c r="BE354" t="s">
        <v>5036</v>
      </c>
      <c r="BF354" t="str">
        <f>HYPERLINK("http://dx.doi.org/10.1117/12.509148","http://dx.doi.org/10.1117/12.509148")</f>
        <v>http://dx.doi.org/10.1117/12.509148</v>
      </c>
      <c r="BG354" t="s">
        <v>74</v>
      </c>
      <c r="BH354" t="s">
        <v>74</v>
      </c>
      <c r="BI354">
        <v>9</v>
      </c>
      <c r="BJ354" t="s">
        <v>5037</v>
      </c>
      <c r="BK354" t="s">
        <v>95</v>
      </c>
      <c r="BL354" t="s">
        <v>5038</v>
      </c>
      <c r="BM354" t="s">
        <v>5039</v>
      </c>
      <c r="BN354" t="s">
        <v>74</v>
      </c>
      <c r="BO354" t="s">
        <v>74</v>
      </c>
      <c r="BP354" t="s">
        <v>74</v>
      </c>
      <c r="BQ354" t="s">
        <v>74</v>
      </c>
      <c r="BR354" t="s">
        <v>98</v>
      </c>
      <c r="BS354" t="s">
        <v>5040</v>
      </c>
      <c r="BT354" t="str">
        <f>HYPERLINK("https%3A%2F%2Fwww.webofscience.com%2Fwos%2Fwoscc%2Ffull-record%2FWOS:000187838400025","View Full Record in Web of Science")</f>
        <v>View Full Record in Web of Science</v>
      </c>
    </row>
    <row r="355" spans="1:72" x14ac:dyDescent="0.15">
      <c r="A355" t="s">
        <v>72</v>
      </c>
      <c r="B355" t="s">
        <v>5041</v>
      </c>
      <c r="C355" t="s">
        <v>74</v>
      </c>
      <c r="D355" t="s">
        <v>5025</v>
      </c>
      <c r="E355" t="s">
        <v>74</v>
      </c>
      <c r="F355" t="s">
        <v>5041</v>
      </c>
      <c r="G355" t="s">
        <v>74</v>
      </c>
      <c r="H355" t="s">
        <v>74</v>
      </c>
      <c r="I355" t="s">
        <v>5042</v>
      </c>
      <c r="J355" t="s">
        <v>5027</v>
      </c>
      <c r="K355" t="s">
        <v>4155</v>
      </c>
      <c r="L355" t="s">
        <v>74</v>
      </c>
      <c r="M355" t="s">
        <v>78</v>
      </c>
      <c r="N355" t="s">
        <v>79</v>
      </c>
      <c r="O355" t="s">
        <v>5028</v>
      </c>
      <c r="P355" t="s">
        <v>5029</v>
      </c>
      <c r="Q355" t="s">
        <v>1830</v>
      </c>
      <c r="R355" t="s">
        <v>74</v>
      </c>
      <c r="S355" t="s">
        <v>74</v>
      </c>
      <c r="T355" t="s">
        <v>5043</v>
      </c>
      <c r="U355" t="s">
        <v>5044</v>
      </c>
      <c r="V355" t="s">
        <v>5045</v>
      </c>
      <c r="W355" t="s">
        <v>5046</v>
      </c>
      <c r="X355" t="s">
        <v>5047</v>
      </c>
      <c r="Y355" t="s">
        <v>5048</v>
      </c>
      <c r="Z355" t="s">
        <v>74</v>
      </c>
      <c r="AA355" t="s">
        <v>5049</v>
      </c>
      <c r="AB355" t="s">
        <v>5050</v>
      </c>
      <c r="AC355" t="s">
        <v>74</v>
      </c>
      <c r="AD355" t="s">
        <v>74</v>
      </c>
      <c r="AE355" t="s">
        <v>74</v>
      </c>
      <c r="AF355" t="s">
        <v>74</v>
      </c>
      <c r="AG355">
        <v>18</v>
      </c>
      <c r="AH355">
        <v>1</v>
      </c>
      <c r="AI355">
        <v>1</v>
      </c>
      <c r="AJ355">
        <v>0</v>
      </c>
      <c r="AK355">
        <v>2</v>
      </c>
      <c r="AL355" t="s">
        <v>1838</v>
      </c>
      <c r="AM355" t="s">
        <v>1839</v>
      </c>
      <c r="AN355" t="s">
        <v>1840</v>
      </c>
      <c r="AO355" t="s">
        <v>1841</v>
      </c>
      <c r="AP355" t="s">
        <v>4168</v>
      </c>
      <c r="AQ355" t="s">
        <v>5035</v>
      </c>
      <c r="AR355" t="s">
        <v>4170</v>
      </c>
      <c r="AS355" t="s">
        <v>74</v>
      </c>
      <c r="AT355" t="s">
        <v>74</v>
      </c>
      <c r="AU355">
        <v>2003</v>
      </c>
      <c r="AV355">
        <v>5156</v>
      </c>
      <c r="AW355" t="s">
        <v>74</v>
      </c>
      <c r="AX355" t="s">
        <v>74</v>
      </c>
      <c r="AY355" t="s">
        <v>74</v>
      </c>
      <c r="AZ355" t="s">
        <v>74</v>
      </c>
      <c r="BA355" t="s">
        <v>74</v>
      </c>
      <c r="BB355">
        <v>254</v>
      </c>
      <c r="BC355">
        <v>261</v>
      </c>
      <c r="BD355" t="s">
        <v>74</v>
      </c>
      <c r="BE355" t="s">
        <v>5051</v>
      </c>
      <c r="BF355" t="str">
        <f>HYPERLINK("http://dx.doi.org/10.1117/12.509331","http://dx.doi.org/10.1117/12.509331")</f>
        <v>http://dx.doi.org/10.1117/12.509331</v>
      </c>
      <c r="BG355" t="s">
        <v>74</v>
      </c>
      <c r="BH355" t="s">
        <v>74</v>
      </c>
      <c r="BI355">
        <v>8</v>
      </c>
      <c r="BJ355" t="s">
        <v>5037</v>
      </c>
      <c r="BK355" t="s">
        <v>95</v>
      </c>
      <c r="BL355" t="s">
        <v>5038</v>
      </c>
      <c r="BM355" t="s">
        <v>5039</v>
      </c>
      <c r="BN355" t="s">
        <v>74</v>
      </c>
      <c r="BO355" t="s">
        <v>74</v>
      </c>
      <c r="BP355" t="s">
        <v>74</v>
      </c>
      <c r="BQ355" t="s">
        <v>74</v>
      </c>
      <c r="BR355" t="s">
        <v>98</v>
      </c>
      <c r="BS355" t="s">
        <v>5052</v>
      </c>
      <c r="BT355" t="str">
        <f>HYPERLINK("https%3A%2F%2Fwww.webofscience.com%2Fwos%2Fwoscc%2Ffull-record%2FWOS:000187838400026","View Full Record in Web of Science")</f>
        <v>View Full Record in Web of Science</v>
      </c>
    </row>
    <row r="356" spans="1:72" x14ac:dyDescent="0.15">
      <c r="A356" t="s">
        <v>72</v>
      </c>
      <c r="B356" t="s">
        <v>5053</v>
      </c>
      <c r="C356" t="s">
        <v>74</v>
      </c>
      <c r="D356" t="s">
        <v>5025</v>
      </c>
      <c r="E356" t="s">
        <v>74</v>
      </c>
      <c r="F356" t="s">
        <v>5053</v>
      </c>
      <c r="G356" t="s">
        <v>74</v>
      </c>
      <c r="H356" t="s">
        <v>74</v>
      </c>
      <c r="I356" t="s">
        <v>5054</v>
      </c>
      <c r="J356" t="s">
        <v>5027</v>
      </c>
      <c r="K356" t="s">
        <v>1827</v>
      </c>
      <c r="L356" t="s">
        <v>74</v>
      </c>
      <c r="M356" t="s">
        <v>78</v>
      </c>
      <c r="N356" t="s">
        <v>79</v>
      </c>
      <c r="O356" t="s">
        <v>5028</v>
      </c>
      <c r="P356" t="s">
        <v>5029</v>
      </c>
      <c r="Q356" t="s">
        <v>1830</v>
      </c>
      <c r="R356" t="s">
        <v>74</v>
      </c>
      <c r="S356" t="s">
        <v>74</v>
      </c>
      <c r="T356" t="s">
        <v>5055</v>
      </c>
      <c r="U356" t="s">
        <v>5056</v>
      </c>
      <c r="V356" t="s">
        <v>5057</v>
      </c>
      <c r="W356" t="s">
        <v>5058</v>
      </c>
      <c r="X356" t="s">
        <v>4943</v>
      </c>
      <c r="Y356" t="s">
        <v>5059</v>
      </c>
      <c r="Z356" t="s">
        <v>74</v>
      </c>
      <c r="AA356" t="s">
        <v>5049</v>
      </c>
      <c r="AB356" t="s">
        <v>5050</v>
      </c>
      <c r="AC356" t="s">
        <v>74</v>
      </c>
      <c r="AD356" t="s">
        <v>74</v>
      </c>
      <c r="AE356" t="s">
        <v>74</v>
      </c>
      <c r="AF356" t="s">
        <v>74</v>
      </c>
      <c r="AG356">
        <v>45</v>
      </c>
      <c r="AH356">
        <v>0</v>
      </c>
      <c r="AI356">
        <v>0</v>
      </c>
      <c r="AJ356">
        <v>0</v>
      </c>
      <c r="AK356">
        <v>0</v>
      </c>
      <c r="AL356" t="s">
        <v>1838</v>
      </c>
      <c r="AM356" t="s">
        <v>1839</v>
      </c>
      <c r="AN356" t="s">
        <v>1840</v>
      </c>
      <c r="AO356" t="s">
        <v>1841</v>
      </c>
      <c r="AP356" t="s">
        <v>74</v>
      </c>
      <c r="AQ356" t="s">
        <v>5035</v>
      </c>
      <c r="AR356" t="s">
        <v>1843</v>
      </c>
      <c r="AS356" t="s">
        <v>74</v>
      </c>
      <c r="AT356" t="s">
        <v>74</v>
      </c>
      <c r="AU356">
        <v>2003</v>
      </c>
      <c r="AV356">
        <v>5156</v>
      </c>
      <c r="AW356" t="s">
        <v>74</v>
      </c>
      <c r="AX356" t="s">
        <v>74</v>
      </c>
      <c r="AY356" t="s">
        <v>74</v>
      </c>
      <c r="AZ356" t="s">
        <v>74</v>
      </c>
      <c r="BA356" t="s">
        <v>74</v>
      </c>
      <c r="BB356">
        <v>372</v>
      </c>
      <c r="BC356">
        <v>383</v>
      </c>
      <c r="BD356" t="s">
        <v>74</v>
      </c>
      <c r="BE356" t="s">
        <v>5060</v>
      </c>
      <c r="BF356" t="str">
        <f>HYPERLINK("http://dx.doi.org/10.1117/12.509092","http://dx.doi.org/10.1117/12.509092")</f>
        <v>http://dx.doi.org/10.1117/12.509092</v>
      </c>
      <c r="BG356" t="s">
        <v>74</v>
      </c>
      <c r="BH356" t="s">
        <v>74</v>
      </c>
      <c r="BI356">
        <v>12</v>
      </c>
      <c r="BJ356" t="s">
        <v>5037</v>
      </c>
      <c r="BK356" t="s">
        <v>95</v>
      </c>
      <c r="BL356" t="s">
        <v>5038</v>
      </c>
      <c r="BM356" t="s">
        <v>5039</v>
      </c>
      <c r="BN356" t="s">
        <v>74</v>
      </c>
      <c r="BO356" t="s">
        <v>74</v>
      </c>
      <c r="BP356" t="s">
        <v>74</v>
      </c>
      <c r="BQ356" t="s">
        <v>74</v>
      </c>
      <c r="BR356" t="s">
        <v>98</v>
      </c>
      <c r="BS356" t="s">
        <v>5061</v>
      </c>
      <c r="BT356" t="str">
        <f>HYPERLINK("https%3A%2F%2Fwww.webofscience.com%2Fwos%2Fwoscc%2Ffull-record%2FWOS:000187838400040","View Full Record in Web of Science")</f>
        <v>View Full Record in Web of Science</v>
      </c>
    </row>
    <row r="357" spans="1:72" x14ac:dyDescent="0.15">
      <c r="A357" t="s">
        <v>552</v>
      </c>
      <c r="B357" t="s">
        <v>5062</v>
      </c>
      <c r="C357" t="s">
        <v>74</v>
      </c>
      <c r="D357" t="s">
        <v>74</v>
      </c>
      <c r="E357" t="s">
        <v>74</v>
      </c>
      <c r="F357" t="s">
        <v>5062</v>
      </c>
      <c r="G357" t="s">
        <v>74</v>
      </c>
      <c r="H357" t="s">
        <v>74</v>
      </c>
      <c r="I357" t="s">
        <v>5063</v>
      </c>
      <c r="J357" t="s">
        <v>5064</v>
      </c>
      <c r="K357" t="s">
        <v>74</v>
      </c>
      <c r="L357" t="s">
        <v>74</v>
      </c>
      <c r="M357" t="s">
        <v>78</v>
      </c>
      <c r="N357" t="s">
        <v>775</v>
      </c>
      <c r="O357" t="s">
        <v>74</v>
      </c>
      <c r="P357" t="s">
        <v>74</v>
      </c>
      <c r="Q357" t="s">
        <v>74</v>
      </c>
      <c r="R357" t="s">
        <v>74</v>
      </c>
      <c r="S357" t="s">
        <v>74</v>
      </c>
      <c r="T357" t="s">
        <v>74</v>
      </c>
      <c r="U357" t="s">
        <v>5065</v>
      </c>
      <c r="V357" t="s">
        <v>5066</v>
      </c>
      <c r="W357" t="s">
        <v>5067</v>
      </c>
      <c r="X357" t="s">
        <v>5068</v>
      </c>
      <c r="Y357" t="s">
        <v>5069</v>
      </c>
      <c r="Z357" t="s">
        <v>74</v>
      </c>
      <c r="AA357" t="s">
        <v>5070</v>
      </c>
      <c r="AB357" t="s">
        <v>5071</v>
      </c>
      <c r="AC357" t="s">
        <v>74</v>
      </c>
      <c r="AD357" t="s">
        <v>74</v>
      </c>
      <c r="AE357" t="s">
        <v>74</v>
      </c>
      <c r="AF357" t="s">
        <v>74</v>
      </c>
      <c r="AG357">
        <v>38</v>
      </c>
      <c r="AH357">
        <v>23</v>
      </c>
      <c r="AI357">
        <v>27</v>
      </c>
      <c r="AJ357">
        <v>0</v>
      </c>
      <c r="AK357">
        <v>11</v>
      </c>
      <c r="AL357" t="s">
        <v>854</v>
      </c>
      <c r="AM357" t="s">
        <v>855</v>
      </c>
      <c r="AN357" t="s">
        <v>856</v>
      </c>
      <c r="AO357" t="s">
        <v>5072</v>
      </c>
      <c r="AP357" t="s">
        <v>74</v>
      </c>
      <c r="AQ357" t="s">
        <v>74</v>
      </c>
      <c r="AR357" t="s">
        <v>5073</v>
      </c>
      <c r="AS357" t="s">
        <v>5074</v>
      </c>
      <c r="AT357" t="s">
        <v>74</v>
      </c>
      <c r="AU357">
        <v>2003</v>
      </c>
      <c r="AV357">
        <v>30</v>
      </c>
      <c r="AW357">
        <v>1</v>
      </c>
      <c r="AX357" t="s">
        <v>74</v>
      </c>
      <c r="AY357" t="s">
        <v>74</v>
      </c>
      <c r="AZ357" t="s">
        <v>74</v>
      </c>
      <c r="BA357" t="s">
        <v>74</v>
      </c>
      <c r="BB357">
        <v>35</v>
      </c>
      <c r="BC357">
        <v>39</v>
      </c>
      <c r="BD357" t="s">
        <v>74</v>
      </c>
      <c r="BE357" t="s">
        <v>5075</v>
      </c>
      <c r="BF357" t="str">
        <f>HYPERLINK("http://dx.doi.org/10.1071/WR01069","http://dx.doi.org/10.1071/WR01069")</f>
        <v>http://dx.doi.org/10.1071/WR01069</v>
      </c>
      <c r="BG357" t="s">
        <v>74</v>
      </c>
      <c r="BH357" t="s">
        <v>74</v>
      </c>
      <c r="BI357">
        <v>5</v>
      </c>
      <c r="BJ357" t="s">
        <v>2567</v>
      </c>
      <c r="BK357" t="s">
        <v>569</v>
      </c>
      <c r="BL357" t="s">
        <v>2568</v>
      </c>
      <c r="BM357" t="s">
        <v>5076</v>
      </c>
      <c r="BN357" t="s">
        <v>74</v>
      </c>
      <c r="BO357" t="s">
        <v>74</v>
      </c>
      <c r="BP357" t="s">
        <v>74</v>
      </c>
      <c r="BQ357" t="s">
        <v>74</v>
      </c>
      <c r="BR357" t="s">
        <v>98</v>
      </c>
      <c r="BS357" t="s">
        <v>5077</v>
      </c>
      <c r="BT357" t="str">
        <f>HYPERLINK("https%3A%2F%2Fwww.webofscience.com%2Fwos%2Fwoscc%2Ffull-record%2FWOS:000182211100004","View Full Record in Web of Science")</f>
        <v>View Full Record in Web of Science</v>
      </c>
    </row>
    <row r="358" spans="1:72" x14ac:dyDescent="0.15">
      <c r="A358" t="s">
        <v>552</v>
      </c>
      <c r="B358" t="s">
        <v>5078</v>
      </c>
      <c r="C358" t="s">
        <v>74</v>
      </c>
      <c r="D358" t="s">
        <v>74</v>
      </c>
      <c r="E358" t="s">
        <v>74</v>
      </c>
      <c r="F358" t="s">
        <v>5078</v>
      </c>
      <c r="G358" t="s">
        <v>74</v>
      </c>
      <c r="H358" t="s">
        <v>74</v>
      </c>
      <c r="I358" t="s">
        <v>5079</v>
      </c>
      <c r="J358" t="s">
        <v>5064</v>
      </c>
      <c r="K358" t="s">
        <v>74</v>
      </c>
      <c r="L358" t="s">
        <v>74</v>
      </c>
      <c r="M358" t="s">
        <v>78</v>
      </c>
      <c r="N358" t="s">
        <v>775</v>
      </c>
      <c r="O358" t="s">
        <v>74</v>
      </c>
      <c r="P358" t="s">
        <v>74</v>
      </c>
      <c r="Q358" t="s">
        <v>74</v>
      </c>
      <c r="R358" t="s">
        <v>74</v>
      </c>
      <c r="S358" t="s">
        <v>74</v>
      </c>
      <c r="T358" t="s">
        <v>74</v>
      </c>
      <c r="U358" t="s">
        <v>5080</v>
      </c>
      <c r="V358" t="s">
        <v>5081</v>
      </c>
      <c r="W358" t="s">
        <v>301</v>
      </c>
      <c r="X358" t="s">
        <v>302</v>
      </c>
      <c r="Y358" t="s">
        <v>781</v>
      </c>
      <c r="Z358" t="s">
        <v>74</v>
      </c>
      <c r="AA358" t="s">
        <v>74</v>
      </c>
      <c r="AB358" t="s">
        <v>74</v>
      </c>
      <c r="AC358" t="s">
        <v>74</v>
      </c>
      <c r="AD358" t="s">
        <v>74</v>
      </c>
      <c r="AE358" t="s">
        <v>74</v>
      </c>
      <c r="AF358" t="s">
        <v>74</v>
      </c>
      <c r="AG358">
        <v>18</v>
      </c>
      <c r="AH358">
        <v>7</v>
      </c>
      <c r="AI358">
        <v>8</v>
      </c>
      <c r="AJ358">
        <v>0</v>
      </c>
      <c r="AK358">
        <v>8</v>
      </c>
      <c r="AL358" t="s">
        <v>5082</v>
      </c>
      <c r="AM358" t="s">
        <v>5083</v>
      </c>
      <c r="AN358" t="s">
        <v>5084</v>
      </c>
      <c r="AO358" t="s">
        <v>5072</v>
      </c>
      <c r="AP358" t="s">
        <v>5085</v>
      </c>
      <c r="AQ358" t="s">
        <v>74</v>
      </c>
      <c r="AR358" t="s">
        <v>5073</v>
      </c>
      <c r="AS358" t="s">
        <v>5074</v>
      </c>
      <c r="AT358" t="s">
        <v>74</v>
      </c>
      <c r="AU358">
        <v>2003</v>
      </c>
      <c r="AV358">
        <v>30</v>
      </c>
      <c r="AW358">
        <v>3</v>
      </c>
      <c r="AX358" t="s">
        <v>74</v>
      </c>
      <c r="AY358" t="s">
        <v>74</v>
      </c>
      <c r="AZ358" t="s">
        <v>74</v>
      </c>
      <c r="BA358" t="s">
        <v>74</v>
      </c>
      <c r="BB358">
        <v>275</v>
      </c>
      <c r="BC358">
        <v>280</v>
      </c>
      <c r="BD358" t="s">
        <v>74</v>
      </c>
      <c r="BE358" t="s">
        <v>5086</v>
      </c>
      <c r="BF358" t="str">
        <f>HYPERLINK("http://dx.doi.org/10.1071/WR01086","http://dx.doi.org/10.1071/WR01086")</f>
        <v>http://dx.doi.org/10.1071/WR01086</v>
      </c>
      <c r="BG358" t="s">
        <v>74</v>
      </c>
      <c r="BH358" t="s">
        <v>74</v>
      </c>
      <c r="BI358">
        <v>6</v>
      </c>
      <c r="BJ358" t="s">
        <v>2567</v>
      </c>
      <c r="BK358" t="s">
        <v>569</v>
      </c>
      <c r="BL358" t="s">
        <v>2568</v>
      </c>
      <c r="BM358" t="s">
        <v>5087</v>
      </c>
      <c r="BN358" t="s">
        <v>74</v>
      </c>
      <c r="BO358" t="s">
        <v>74</v>
      </c>
      <c r="BP358" t="s">
        <v>74</v>
      </c>
      <c r="BQ358" t="s">
        <v>74</v>
      </c>
      <c r="BR358" t="s">
        <v>98</v>
      </c>
      <c r="BS358" t="s">
        <v>5088</v>
      </c>
      <c r="BT358" t="str">
        <f>HYPERLINK("https%3A%2F%2Fwww.webofscience.com%2Fwos%2Fwoscc%2Ffull-record%2FWOS:000184345300012","View Full Record in Web of Science")</f>
        <v>View Full Record in Web of Science</v>
      </c>
    </row>
    <row r="359" spans="1:72" x14ac:dyDescent="0.15">
      <c r="A359" t="s">
        <v>552</v>
      </c>
      <c r="B359" t="s">
        <v>5089</v>
      </c>
      <c r="C359" t="s">
        <v>74</v>
      </c>
      <c r="D359" t="s">
        <v>74</v>
      </c>
      <c r="E359" t="s">
        <v>74</v>
      </c>
      <c r="F359" t="s">
        <v>5089</v>
      </c>
      <c r="G359" t="s">
        <v>74</v>
      </c>
      <c r="H359" t="s">
        <v>74</v>
      </c>
      <c r="I359" t="s">
        <v>5090</v>
      </c>
      <c r="J359" t="s">
        <v>5091</v>
      </c>
      <c r="K359" t="s">
        <v>74</v>
      </c>
      <c r="L359" t="s">
        <v>74</v>
      </c>
      <c r="M359" t="s">
        <v>78</v>
      </c>
      <c r="N359" t="s">
        <v>775</v>
      </c>
      <c r="O359" t="s">
        <v>74</v>
      </c>
      <c r="P359" t="s">
        <v>74</v>
      </c>
      <c r="Q359" t="s">
        <v>74</v>
      </c>
      <c r="R359" t="s">
        <v>74</v>
      </c>
      <c r="S359" t="s">
        <v>74</v>
      </c>
      <c r="T359" t="s">
        <v>5092</v>
      </c>
      <c r="U359" t="s">
        <v>5093</v>
      </c>
      <c r="V359" t="s">
        <v>5094</v>
      </c>
      <c r="W359" t="s">
        <v>5095</v>
      </c>
      <c r="X359" t="s">
        <v>5096</v>
      </c>
      <c r="Y359" t="s">
        <v>5097</v>
      </c>
      <c r="Z359" t="s">
        <v>5098</v>
      </c>
      <c r="AA359" t="s">
        <v>5099</v>
      </c>
      <c r="AB359" t="s">
        <v>5100</v>
      </c>
      <c r="AC359" t="s">
        <v>74</v>
      </c>
      <c r="AD359" t="s">
        <v>74</v>
      </c>
      <c r="AE359" t="s">
        <v>74</v>
      </c>
      <c r="AF359" t="s">
        <v>74</v>
      </c>
      <c r="AG359">
        <v>30</v>
      </c>
      <c r="AH359">
        <v>11</v>
      </c>
      <c r="AI359">
        <v>11</v>
      </c>
      <c r="AJ359">
        <v>0</v>
      </c>
      <c r="AK359">
        <v>3</v>
      </c>
      <c r="AL359" t="s">
        <v>387</v>
      </c>
      <c r="AM359" t="s">
        <v>388</v>
      </c>
      <c r="AN359" t="s">
        <v>389</v>
      </c>
      <c r="AO359" t="s">
        <v>5101</v>
      </c>
      <c r="AP359" t="s">
        <v>74</v>
      </c>
      <c r="AQ359" t="s">
        <v>74</v>
      </c>
      <c r="AR359" t="s">
        <v>5102</v>
      </c>
      <c r="AS359" t="s">
        <v>5103</v>
      </c>
      <c r="AT359" t="s">
        <v>5104</v>
      </c>
      <c r="AU359">
        <v>2002</v>
      </c>
      <c r="AV359">
        <v>107</v>
      </c>
      <c r="AW359" t="s">
        <v>5105</v>
      </c>
      <c r="AX359" t="s">
        <v>74</v>
      </c>
      <c r="AY359" t="s">
        <v>74</v>
      </c>
      <c r="AZ359" t="s">
        <v>74</v>
      </c>
      <c r="BA359" t="s">
        <v>74</v>
      </c>
      <c r="BB359" t="s">
        <v>74</v>
      </c>
      <c r="BC359" t="s">
        <v>74</v>
      </c>
      <c r="BD359">
        <v>4809</v>
      </c>
      <c r="BE359" t="s">
        <v>5106</v>
      </c>
      <c r="BF359" t="str">
        <f>HYPERLINK("http://dx.doi.org/10.1029/2002JD002546","http://dx.doi.org/10.1029/2002JD002546")</f>
        <v>http://dx.doi.org/10.1029/2002JD002546</v>
      </c>
      <c r="BG359" t="s">
        <v>74</v>
      </c>
      <c r="BH359" t="s">
        <v>74</v>
      </c>
      <c r="BI359">
        <v>12</v>
      </c>
      <c r="BJ359" t="s">
        <v>1237</v>
      </c>
      <c r="BK359" t="s">
        <v>569</v>
      </c>
      <c r="BL359" t="s">
        <v>1237</v>
      </c>
      <c r="BM359" t="s">
        <v>5107</v>
      </c>
      <c r="BN359" t="s">
        <v>74</v>
      </c>
      <c r="BO359" t="s">
        <v>572</v>
      </c>
      <c r="BP359" t="s">
        <v>74</v>
      </c>
      <c r="BQ359" t="s">
        <v>74</v>
      </c>
      <c r="BR359" t="s">
        <v>98</v>
      </c>
      <c r="BS359" t="s">
        <v>5108</v>
      </c>
      <c r="BT359" t="str">
        <f>HYPERLINK("https%3A%2F%2Fwww.webofscience.com%2Fwos%2Fwoscc%2Ffull-record%2FWOS:000181262000010","View Full Record in Web of Science")</f>
        <v>View Full Record in Web of Science</v>
      </c>
    </row>
    <row r="360" spans="1:72" x14ac:dyDescent="0.15">
      <c r="A360" t="s">
        <v>552</v>
      </c>
      <c r="B360" t="s">
        <v>5109</v>
      </c>
      <c r="C360" t="s">
        <v>74</v>
      </c>
      <c r="D360" t="s">
        <v>74</v>
      </c>
      <c r="E360" t="s">
        <v>74</v>
      </c>
      <c r="F360" t="s">
        <v>5109</v>
      </c>
      <c r="G360" t="s">
        <v>74</v>
      </c>
      <c r="H360" t="s">
        <v>74</v>
      </c>
      <c r="I360" t="s">
        <v>5110</v>
      </c>
      <c r="J360" t="s">
        <v>5111</v>
      </c>
      <c r="K360" t="s">
        <v>74</v>
      </c>
      <c r="L360" t="s">
        <v>74</v>
      </c>
      <c r="M360" t="s">
        <v>78</v>
      </c>
      <c r="N360" t="s">
        <v>775</v>
      </c>
      <c r="O360" t="s">
        <v>74</v>
      </c>
      <c r="P360" t="s">
        <v>74</v>
      </c>
      <c r="Q360" t="s">
        <v>74</v>
      </c>
      <c r="R360" t="s">
        <v>74</v>
      </c>
      <c r="S360" t="s">
        <v>74</v>
      </c>
      <c r="T360" t="s">
        <v>74</v>
      </c>
      <c r="U360" t="s">
        <v>5112</v>
      </c>
      <c r="V360" t="s">
        <v>5113</v>
      </c>
      <c r="W360" t="s">
        <v>5114</v>
      </c>
      <c r="X360" t="s">
        <v>5115</v>
      </c>
      <c r="Y360" t="s">
        <v>5116</v>
      </c>
      <c r="Z360" t="s">
        <v>5117</v>
      </c>
      <c r="AA360" t="s">
        <v>5118</v>
      </c>
      <c r="AB360" t="s">
        <v>5119</v>
      </c>
      <c r="AC360" t="s">
        <v>74</v>
      </c>
      <c r="AD360" t="s">
        <v>74</v>
      </c>
      <c r="AE360" t="s">
        <v>74</v>
      </c>
      <c r="AF360" t="s">
        <v>74</v>
      </c>
      <c r="AG360">
        <v>25</v>
      </c>
      <c r="AH360">
        <v>30</v>
      </c>
      <c r="AI360">
        <v>31</v>
      </c>
      <c r="AJ360">
        <v>0</v>
      </c>
      <c r="AK360">
        <v>11</v>
      </c>
      <c r="AL360" t="s">
        <v>387</v>
      </c>
      <c r="AM360" t="s">
        <v>388</v>
      </c>
      <c r="AN360" t="s">
        <v>389</v>
      </c>
      <c r="AO360" t="s">
        <v>5120</v>
      </c>
      <c r="AP360" t="s">
        <v>5121</v>
      </c>
      <c r="AQ360" t="s">
        <v>74</v>
      </c>
      <c r="AR360" t="s">
        <v>5122</v>
      </c>
      <c r="AS360" t="s">
        <v>5123</v>
      </c>
      <c r="AT360" t="s">
        <v>5104</v>
      </c>
      <c r="AU360">
        <v>2002</v>
      </c>
      <c r="AV360">
        <v>107</v>
      </c>
      <c r="AW360" t="s">
        <v>5124</v>
      </c>
      <c r="AX360" t="s">
        <v>74</v>
      </c>
      <c r="AY360" t="s">
        <v>74</v>
      </c>
      <c r="AZ360" t="s">
        <v>74</v>
      </c>
      <c r="BA360" t="s">
        <v>74</v>
      </c>
      <c r="BB360" t="s">
        <v>74</v>
      </c>
      <c r="BC360" t="s">
        <v>74</v>
      </c>
      <c r="BD360">
        <v>8020</v>
      </c>
      <c r="BE360" t="s">
        <v>5125</v>
      </c>
      <c r="BF360" t="str">
        <f>HYPERLINK("http://dx.doi.org/10.1029/2001JC000808","http://dx.doi.org/10.1029/2001JC000808")</f>
        <v>http://dx.doi.org/10.1029/2001JC000808</v>
      </c>
      <c r="BG360" t="s">
        <v>74</v>
      </c>
      <c r="BH360" t="s">
        <v>74</v>
      </c>
      <c r="BI360">
        <v>9</v>
      </c>
      <c r="BJ360" t="s">
        <v>1394</v>
      </c>
      <c r="BK360" t="s">
        <v>569</v>
      </c>
      <c r="BL360" t="s">
        <v>1394</v>
      </c>
      <c r="BM360" t="s">
        <v>5126</v>
      </c>
      <c r="BN360" t="s">
        <v>74</v>
      </c>
      <c r="BO360" t="s">
        <v>3298</v>
      </c>
      <c r="BP360" t="s">
        <v>74</v>
      </c>
      <c r="BQ360" t="s">
        <v>74</v>
      </c>
      <c r="BR360" t="s">
        <v>98</v>
      </c>
      <c r="BS360" t="s">
        <v>5127</v>
      </c>
      <c r="BT360" t="str">
        <f>HYPERLINK("https%3A%2F%2Fwww.webofscience.com%2Fwos%2Fwoscc%2Ffull-record%2FWOS:000181233700001","View Full Record in Web of Science")</f>
        <v>View Full Record in Web of Science</v>
      </c>
    </row>
    <row r="361" spans="1:72" x14ac:dyDescent="0.15">
      <c r="A361" t="s">
        <v>552</v>
      </c>
      <c r="B361" t="s">
        <v>5128</v>
      </c>
      <c r="C361" t="s">
        <v>74</v>
      </c>
      <c r="D361" t="s">
        <v>74</v>
      </c>
      <c r="E361" t="s">
        <v>74</v>
      </c>
      <c r="F361" t="s">
        <v>5128</v>
      </c>
      <c r="G361" t="s">
        <v>74</v>
      </c>
      <c r="H361" t="s">
        <v>74</v>
      </c>
      <c r="I361" t="s">
        <v>5129</v>
      </c>
      <c r="J361" t="s">
        <v>5130</v>
      </c>
      <c r="K361" t="s">
        <v>74</v>
      </c>
      <c r="L361" t="s">
        <v>74</v>
      </c>
      <c r="M361" t="s">
        <v>78</v>
      </c>
      <c r="N361" t="s">
        <v>775</v>
      </c>
      <c r="O361" t="s">
        <v>74</v>
      </c>
      <c r="P361" t="s">
        <v>74</v>
      </c>
      <c r="Q361" t="s">
        <v>74</v>
      </c>
      <c r="R361" t="s">
        <v>74</v>
      </c>
      <c r="S361" t="s">
        <v>74</v>
      </c>
      <c r="T361" t="s">
        <v>5131</v>
      </c>
      <c r="U361" t="s">
        <v>5132</v>
      </c>
      <c r="V361" t="s">
        <v>5133</v>
      </c>
      <c r="W361" t="s">
        <v>5134</v>
      </c>
      <c r="X361" t="s">
        <v>5135</v>
      </c>
      <c r="Y361" t="s">
        <v>5136</v>
      </c>
      <c r="Z361" t="s">
        <v>5137</v>
      </c>
      <c r="AA361" t="s">
        <v>74</v>
      </c>
      <c r="AB361" t="s">
        <v>5138</v>
      </c>
      <c r="AC361" t="s">
        <v>74</v>
      </c>
      <c r="AD361" t="s">
        <v>74</v>
      </c>
      <c r="AE361" t="s">
        <v>74</v>
      </c>
      <c r="AF361" t="s">
        <v>74</v>
      </c>
      <c r="AG361">
        <v>100</v>
      </c>
      <c r="AH361">
        <v>45</v>
      </c>
      <c r="AI361">
        <v>47</v>
      </c>
      <c r="AJ361">
        <v>1</v>
      </c>
      <c r="AK361">
        <v>24</v>
      </c>
      <c r="AL361" t="s">
        <v>3155</v>
      </c>
      <c r="AM361" t="s">
        <v>1861</v>
      </c>
      <c r="AN361" t="s">
        <v>3156</v>
      </c>
      <c r="AO361" t="s">
        <v>5139</v>
      </c>
      <c r="AP361" t="s">
        <v>5140</v>
      </c>
      <c r="AQ361" t="s">
        <v>74</v>
      </c>
      <c r="AR361" t="s">
        <v>5141</v>
      </c>
      <c r="AS361" t="s">
        <v>5142</v>
      </c>
      <c r="AT361" t="s">
        <v>5143</v>
      </c>
      <c r="AU361">
        <v>2002</v>
      </c>
      <c r="AV361">
        <v>192</v>
      </c>
      <c r="AW361">
        <v>4</v>
      </c>
      <c r="AX361" t="s">
        <v>74</v>
      </c>
      <c r="AY361" t="s">
        <v>74</v>
      </c>
      <c r="AZ361" t="s">
        <v>74</v>
      </c>
      <c r="BA361" t="s">
        <v>74</v>
      </c>
      <c r="BB361">
        <v>393</v>
      </c>
      <c r="BC361">
        <v>417</v>
      </c>
      <c r="BD361" t="s">
        <v>5144</v>
      </c>
      <c r="BE361" t="s">
        <v>5145</v>
      </c>
      <c r="BF361" t="str">
        <f>HYPERLINK("http://dx.doi.org/10.1016/S0025-3227(02)00592-3","http://dx.doi.org/10.1016/S0025-3227(02)00592-3")</f>
        <v>http://dx.doi.org/10.1016/S0025-3227(02)00592-3</v>
      </c>
      <c r="BG361" t="s">
        <v>74</v>
      </c>
      <c r="BH361" t="s">
        <v>74</v>
      </c>
      <c r="BI361">
        <v>25</v>
      </c>
      <c r="BJ361" t="s">
        <v>5146</v>
      </c>
      <c r="BK361" t="s">
        <v>569</v>
      </c>
      <c r="BL361" t="s">
        <v>5147</v>
      </c>
      <c r="BM361" t="s">
        <v>5148</v>
      </c>
      <c r="BN361" t="s">
        <v>74</v>
      </c>
      <c r="BO361" t="s">
        <v>74</v>
      </c>
      <c r="BP361" t="s">
        <v>74</v>
      </c>
      <c r="BQ361" t="s">
        <v>74</v>
      </c>
      <c r="BR361" t="s">
        <v>98</v>
      </c>
      <c r="BS361" t="s">
        <v>5149</v>
      </c>
      <c r="BT361" t="str">
        <f>HYPERLINK("https%3A%2F%2Fwww.webofscience.com%2Fwos%2Fwoscc%2Ffull-record%2FWOS:000182776200004","View Full Record in Web of Science")</f>
        <v>View Full Record in Web of Science</v>
      </c>
    </row>
    <row r="362" spans="1:72" x14ac:dyDescent="0.15">
      <c r="A362" t="s">
        <v>552</v>
      </c>
      <c r="B362" t="s">
        <v>5150</v>
      </c>
      <c r="C362" t="s">
        <v>74</v>
      </c>
      <c r="D362" t="s">
        <v>74</v>
      </c>
      <c r="E362" t="s">
        <v>74</v>
      </c>
      <c r="F362" t="s">
        <v>5150</v>
      </c>
      <c r="G362" t="s">
        <v>74</v>
      </c>
      <c r="H362" t="s">
        <v>74</v>
      </c>
      <c r="I362" t="s">
        <v>5151</v>
      </c>
      <c r="J362" t="s">
        <v>5130</v>
      </c>
      <c r="K362" t="s">
        <v>74</v>
      </c>
      <c r="L362" t="s">
        <v>74</v>
      </c>
      <c r="M362" t="s">
        <v>78</v>
      </c>
      <c r="N362" t="s">
        <v>1792</v>
      </c>
      <c r="O362" t="s">
        <v>74</v>
      </c>
      <c r="P362" t="s">
        <v>74</v>
      </c>
      <c r="Q362" t="s">
        <v>74</v>
      </c>
      <c r="R362" t="s">
        <v>74</v>
      </c>
      <c r="S362" t="s">
        <v>74</v>
      </c>
      <c r="T362" t="s">
        <v>74</v>
      </c>
      <c r="U362" t="s">
        <v>74</v>
      </c>
      <c r="V362" t="s">
        <v>74</v>
      </c>
      <c r="W362" t="s">
        <v>5152</v>
      </c>
      <c r="X362" t="s">
        <v>5153</v>
      </c>
      <c r="Y362" t="s">
        <v>5154</v>
      </c>
      <c r="Z362" t="s">
        <v>74</v>
      </c>
      <c r="AA362" t="s">
        <v>5155</v>
      </c>
      <c r="AB362" t="s">
        <v>5156</v>
      </c>
      <c r="AC362" t="s">
        <v>74</v>
      </c>
      <c r="AD362" t="s">
        <v>74</v>
      </c>
      <c r="AE362" t="s">
        <v>74</v>
      </c>
      <c r="AF362" t="s">
        <v>74</v>
      </c>
      <c r="AG362">
        <v>1</v>
      </c>
      <c r="AH362">
        <v>0</v>
      </c>
      <c r="AI362">
        <v>0</v>
      </c>
      <c r="AJ362">
        <v>0</v>
      </c>
      <c r="AK362">
        <v>4</v>
      </c>
      <c r="AL362" t="s">
        <v>1860</v>
      </c>
      <c r="AM362" t="s">
        <v>1861</v>
      </c>
      <c r="AN362" t="s">
        <v>1862</v>
      </c>
      <c r="AO362" t="s">
        <v>5139</v>
      </c>
      <c r="AP362" t="s">
        <v>74</v>
      </c>
      <c r="AQ362" t="s">
        <v>74</v>
      </c>
      <c r="AR362" t="s">
        <v>5141</v>
      </c>
      <c r="AS362" t="s">
        <v>5142</v>
      </c>
      <c r="AT362" t="s">
        <v>5143</v>
      </c>
      <c r="AU362">
        <v>2002</v>
      </c>
      <c r="AV362">
        <v>192</v>
      </c>
      <c r="AW362">
        <v>4</v>
      </c>
      <c r="AX362" t="s">
        <v>74</v>
      </c>
      <c r="AY362" t="s">
        <v>74</v>
      </c>
      <c r="AZ362" t="s">
        <v>74</v>
      </c>
      <c r="BA362" t="s">
        <v>74</v>
      </c>
      <c r="BB362">
        <v>439</v>
      </c>
      <c r="BC362">
        <v>440</v>
      </c>
      <c r="BD362" t="s">
        <v>5157</v>
      </c>
      <c r="BE362" t="s">
        <v>5158</v>
      </c>
      <c r="BF362" t="str">
        <f>HYPERLINK("http://dx.doi.org/10.1016/S0025-3227(02)00578-9","http://dx.doi.org/10.1016/S0025-3227(02)00578-9")</f>
        <v>http://dx.doi.org/10.1016/S0025-3227(02)00578-9</v>
      </c>
      <c r="BG362" t="s">
        <v>74</v>
      </c>
      <c r="BH362" t="s">
        <v>74</v>
      </c>
      <c r="BI362">
        <v>2</v>
      </c>
      <c r="BJ362" t="s">
        <v>5146</v>
      </c>
      <c r="BK362" t="s">
        <v>569</v>
      </c>
      <c r="BL362" t="s">
        <v>5147</v>
      </c>
      <c r="BM362" t="s">
        <v>5148</v>
      </c>
      <c r="BN362" t="s">
        <v>74</v>
      </c>
      <c r="BO362" t="s">
        <v>74</v>
      </c>
      <c r="BP362" t="s">
        <v>74</v>
      </c>
      <c r="BQ362" t="s">
        <v>74</v>
      </c>
      <c r="BR362" t="s">
        <v>98</v>
      </c>
      <c r="BS362" t="s">
        <v>5159</v>
      </c>
      <c r="BT362" t="str">
        <f>HYPERLINK("https%3A%2F%2Fwww.webofscience.com%2Fwos%2Fwoscc%2Ffull-record%2FWOS:000182776200010","View Full Record in Web of Science")</f>
        <v>View Full Record in Web of Science</v>
      </c>
    </row>
    <row r="363" spans="1:72" x14ac:dyDescent="0.15">
      <c r="A363" t="s">
        <v>552</v>
      </c>
      <c r="B363" t="s">
        <v>5160</v>
      </c>
      <c r="C363" t="s">
        <v>74</v>
      </c>
      <c r="D363" t="s">
        <v>74</v>
      </c>
      <c r="E363" t="s">
        <v>74</v>
      </c>
      <c r="F363" t="s">
        <v>5160</v>
      </c>
      <c r="G363" t="s">
        <v>74</v>
      </c>
      <c r="H363" t="s">
        <v>74</v>
      </c>
      <c r="I363" t="s">
        <v>5161</v>
      </c>
      <c r="J363" t="s">
        <v>5162</v>
      </c>
      <c r="K363" t="s">
        <v>74</v>
      </c>
      <c r="L363" t="s">
        <v>74</v>
      </c>
      <c r="M363" t="s">
        <v>78</v>
      </c>
      <c r="N363" t="s">
        <v>775</v>
      </c>
      <c r="O363" t="s">
        <v>74</v>
      </c>
      <c r="P363" t="s">
        <v>74</v>
      </c>
      <c r="Q363" t="s">
        <v>74</v>
      </c>
      <c r="R363" t="s">
        <v>74</v>
      </c>
      <c r="S363" t="s">
        <v>74</v>
      </c>
      <c r="T363" t="s">
        <v>74</v>
      </c>
      <c r="U363" t="s">
        <v>5163</v>
      </c>
      <c r="V363" t="s">
        <v>5164</v>
      </c>
      <c r="W363" t="s">
        <v>5165</v>
      </c>
      <c r="X363" t="s">
        <v>5166</v>
      </c>
      <c r="Y363" t="s">
        <v>5167</v>
      </c>
      <c r="Z363" t="s">
        <v>5168</v>
      </c>
      <c r="AA363" t="s">
        <v>74</v>
      </c>
      <c r="AB363" t="s">
        <v>74</v>
      </c>
      <c r="AC363" t="s">
        <v>74</v>
      </c>
      <c r="AD363" t="s">
        <v>74</v>
      </c>
      <c r="AE363" t="s">
        <v>74</v>
      </c>
      <c r="AF363" t="s">
        <v>74</v>
      </c>
      <c r="AG363">
        <v>14</v>
      </c>
      <c r="AH363">
        <v>43</v>
      </c>
      <c r="AI363">
        <v>49</v>
      </c>
      <c r="AJ363">
        <v>0</v>
      </c>
      <c r="AK363">
        <v>2</v>
      </c>
      <c r="AL363" t="s">
        <v>387</v>
      </c>
      <c r="AM363" t="s">
        <v>388</v>
      </c>
      <c r="AN363" t="s">
        <v>389</v>
      </c>
      <c r="AO363" t="s">
        <v>5169</v>
      </c>
      <c r="AP363" t="s">
        <v>5170</v>
      </c>
      <c r="AQ363" t="s">
        <v>74</v>
      </c>
      <c r="AR363" t="s">
        <v>5171</v>
      </c>
      <c r="AS363" t="s">
        <v>5172</v>
      </c>
      <c r="AT363" t="s">
        <v>5173</v>
      </c>
      <c r="AU363">
        <v>2002</v>
      </c>
      <c r="AV363">
        <v>29</v>
      </c>
      <c r="AW363">
        <v>24</v>
      </c>
      <c r="AX363" t="s">
        <v>74</v>
      </c>
      <c r="AY363" t="s">
        <v>74</v>
      </c>
      <c r="AZ363" t="s">
        <v>74</v>
      </c>
      <c r="BA363" t="s">
        <v>74</v>
      </c>
      <c r="BB363" t="s">
        <v>74</v>
      </c>
      <c r="BC363" t="s">
        <v>74</v>
      </c>
      <c r="BD363">
        <v>2223</v>
      </c>
      <c r="BE363" t="s">
        <v>5174</v>
      </c>
      <c r="BF363" t="str">
        <f>HYPERLINK("http://dx.doi.org/10.1029/2002GL015708","http://dx.doi.org/10.1029/2002GL015708")</f>
        <v>http://dx.doi.org/10.1029/2002GL015708</v>
      </c>
      <c r="BG363" t="s">
        <v>74</v>
      </c>
      <c r="BH363" t="s">
        <v>74</v>
      </c>
      <c r="BI363">
        <v>4</v>
      </c>
      <c r="BJ363" t="s">
        <v>1813</v>
      </c>
      <c r="BK363" t="s">
        <v>569</v>
      </c>
      <c r="BL363" t="s">
        <v>1814</v>
      </c>
      <c r="BM363" t="s">
        <v>5175</v>
      </c>
      <c r="BN363" t="s">
        <v>74</v>
      </c>
      <c r="BO363" t="s">
        <v>572</v>
      </c>
      <c r="BP363" t="s">
        <v>74</v>
      </c>
      <c r="BQ363" t="s">
        <v>74</v>
      </c>
      <c r="BR363" t="s">
        <v>98</v>
      </c>
      <c r="BS363" t="s">
        <v>5176</v>
      </c>
      <c r="BT363" t="str">
        <f>HYPERLINK("https%3A%2F%2Fwww.webofscience.com%2Fwos%2Fwoscc%2Ffull-record%2FWOS:000181231500005","View Full Record in Web of Science")</f>
        <v>View Full Record in Web of Science</v>
      </c>
    </row>
    <row r="364" spans="1:72" x14ac:dyDescent="0.15">
      <c r="A364" t="s">
        <v>552</v>
      </c>
      <c r="B364" t="s">
        <v>5177</v>
      </c>
      <c r="C364" t="s">
        <v>74</v>
      </c>
      <c r="D364" t="s">
        <v>74</v>
      </c>
      <c r="E364" t="s">
        <v>74</v>
      </c>
      <c r="F364" t="s">
        <v>5177</v>
      </c>
      <c r="G364" t="s">
        <v>74</v>
      </c>
      <c r="H364" t="s">
        <v>74</v>
      </c>
      <c r="I364" t="s">
        <v>5178</v>
      </c>
      <c r="J364" t="s">
        <v>5091</v>
      </c>
      <c r="K364" t="s">
        <v>74</v>
      </c>
      <c r="L364" t="s">
        <v>74</v>
      </c>
      <c r="M364" t="s">
        <v>78</v>
      </c>
      <c r="N364" t="s">
        <v>1114</v>
      </c>
      <c r="O364" t="s">
        <v>74</v>
      </c>
      <c r="P364" t="s">
        <v>74</v>
      </c>
      <c r="Q364" t="s">
        <v>74</v>
      </c>
      <c r="R364" t="s">
        <v>74</v>
      </c>
      <c r="S364" t="s">
        <v>74</v>
      </c>
      <c r="T364" t="s">
        <v>5179</v>
      </c>
      <c r="U364" t="s">
        <v>5180</v>
      </c>
      <c r="V364" t="s">
        <v>5181</v>
      </c>
      <c r="W364" t="s">
        <v>5182</v>
      </c>
      <c r="X364" t="s">
        <v>5183</v>
      </c>
      <c r="Y364" t="s">
        <v>5184</v>
      </c>
      <c r="Z364" t="s">
        <v>5185</v>
      </c>
      <c r="AA364" t="s">
        <v>5186</v>
      </c>
      <c r="AB364" t="s">
        <v>5187</v>
      </c>
      <c r="AC364" t="s">
        <v>74</v>
      </c>
      <c r="AD364" t="s">
        <v>74</v>
      </c>
      <c r="AE364" t="s">
        <v>74</v>
      </c>
      <c r="AF364" t="s">
        <v>74</v>
      </c>
      <c r="AG364">
        <v>103</v>
      </c>
      <c r="AH364">
        <v>193</v>
      </c>
      <c r="AI364">
        <v>207</v>
      </c>
      <c r="AJ364">
        <v>3</v>
      </c>
      <c r="AK364">
        <v>71</v>
      </c>
      <c r="AL364" t="s">
        <v>387</v>
      </c>
      <c r="AM364" t="s">
        <v>388</v>
      </c>
      <c r="AN364" t="s">
        <v>389</v>
      </c>
      <c r="AO364" t="s">
        <v>5101</v>
      </c>
      <c r="AP364" t="s">
        <v>5188</v>
      </c>
      <c r="AQ364" t="s">
        <v>74</v>
      </c>
      <c r="AR364" t="s">
        <v>5102</v>
      </c>
      <c r="AS364" t="s">
        <v>5103</v>
      </c>
      <c r="AT364" t="s">
        <v>5173</v>
      </c>
      <c r="AU364">
        <v>2002</v>
      </c>
      <c r="AV364">
        <v>107</v>
      </c>
      <c r="AW364" t="s">
        <v>5105</v>
      </c>
      <c r="AX364" t="s">
        <v>74</v>
      </c>
      <c r="AY364" t="s">
        <v>74</v>
      </c>
      <c r="AZ364" t="s">
        <v>74</v>
      </c>
      <c r="BA364" t="s">
        <v>74</v>
      </c>
      <c r="BB364" t="s">
        <v>74</v>
      </c>
      <c r="BC364" t="s">
        <v>74</v>
      </c>
      <c r="BD364">
        <v>4803</v>
      </c>
      <c r="BE364" t="s">
        <v>5189</v>
      </c>
      <c r="BF364" t="str">
        <f>HYPERLINK("http://dx.doi.org/10.1029/2002JD002090","http://dx.doi.org/10.1029/2002JD002090")</f>
        <v>http://dx.doi.org/10.1029/2002JD002090</v>
      </c>
      <c r="BG364" t="s">
        <v>74</v>
      </c>
      <c r="BH364" t="s">
        <v>74</v>
      </c>
      <c r="BI364">
        <v>16</v>
      </c>
      <c r="BJ364" t="s">
        <v>1237</v>
      </c>
      <c r="BK364" t="s">
        <v>569</v>
      </c>
      <c r="BL364" t="s">
        <v>1237</v>
      </c>
      <c r="BM364" t="s">
        <v>5190</v>
      </c>
      <c r="BN364" t="s">
        <v>74</v>
      </c>
      <c r="BO364" t="s">
        <v>572</v>
      </c>
      <c r="BP364" t="s">
        <v>74</v>
      </c>
      <c r="BQ364" t="s">
        <v>74</v>
      </c>
      <c r="BR364" t="s">
        <v>98</v>
      </c>
      <c r="BS364" t="s">
        <v>5191</v>
      </c>
      <c r="BT364" t="str">
        <f>HYPERLINK("https%3A%2F%2Fwww.webofscience.com%2Fwos%2Fwoscc%2Ffull-record%2FWOS:000181259400007","View Full Record in Web of Science")</f>
        <v>View Full Record in Web of Science</v>
      </c>
    </row>
    <row r="365" spans="1:72" x14ac:dyDescent="0.15">
      <c r="A365" t="s">
        <v>552</v>
      </c>
      <c r="B365" t="s">
        <v>5192</v>
      </c>
      <c r="C365" t="s">
        <v>74</v>
      </c>
      <c r="D365" t="s">
        <v>74</v>
      </c>
      <c r="E365" t="s">
        <v>74</v>
      </c>
      <c r="F365" t="s">
        <v>5192</v>
      </c>
      <c r="G365" t="s">
        <v>74</v>
      </c>
      <c r="H365" t="s">
        <v>74</v>
      </c>
      <c r="I365" t="s">
        <v>5193</v>
      </c>
      <c r="J365" t="s">
        <v>5194</v>
      </c>
      <c r="K365" t="s">
        <v>74</v>
      </c>
      <c r="L365" t="s">
        <v>74</v>
      </c>
      <c r="M365" t="s">
        <v>78</v>
      </c>
      <c r="N365" t="s">
        <v>775</v>
      </c>
      <c r="O365" t="s">
        <v>74</v>
      </c>
      <c r="P365" t="s">
        <v>74</v>
      </c>
      <c r="Q365" t="s">
        <v>74</v>
      </c>
      <c r="R365" t="s">
        <v>74</v>
      </c>
      <c r="S365" t="s">
        <v>74</v>
      </c>
      <c r="T365" t="s">
        <v>5195</v>
      </c>
      <c r="U365" t="s">
        <v>5196</v>
      </c>
      <c r="V365" t="s">
        <v>5197</v>
      </c>
      <c r="W365" t="s">
        <v>5198</v>
      </c>
      <c r="X365" t="s">
        <v>2186</v>
      </c>
      <c r="Y365" t="s">
        <v>5199</v>
      </c>
      <c r="Z365" t="s">
        <v>5200</v>
      </c>
      <c r="AA365" t="s">
        <v>74</v>
      </c>
      <c r="AB365" t="s">
        <v>5201</v>
      </c>
      <c r="AC365" t="s">
        <v>74</v>
      </c>
      <c r="AD365" t="s">
        <v>74</v>
      </c>
      <c r="AE365" t="s">
        <v>74</v>
      </c>
      <c r="AF365" t="s">
        <v>74</v>
      </c>
      <c r="AG365">
        <v>69</v>
      </c>
      <c r="AH365">
        <v>71</v>
      </c>
      <c r="AI365">
        <v>89</v>
      </c>
      <c r="AJ365">
        <v>0</v>
      </c>
      <c r="AK365">
        <v>27</v>
      </c>
      <c r="AL365" t="s">
        <v>387</v>
      </c>
      <c r="AM365" t="s">
        <v>388</v>
      </c>
      <c r="AN365" t="s">
        <v>389</v>
      </c>
      <c r="AO365" t="s">
        <v>5202</v>
      </c>
      <c r="AP365" t="s">
        <v>5203</v>
      </c>
      <c r="AQ365" t="s">
        <v>74</v>
      </c>
      <c r="AR365" t="s">
        <v>5194</v>
      </c>
      <c r="AS365" t="s">
        <v>5204</v>
      </c>
      <c r="AT365" t="s">
        <v>5173</v>
      </c>
      <c r="AU365">
        <v>2002</v>
      </c>
      <c r="AV365">
        <v>17</v>
      </c>
      <c r="AW365">
        <v>4</v>
      </c>
      <c r="AX365" t="s">
        <v>74</v>
      </c>
      <c r="AY365" t="s">
        <v>74</v>
      </c>
      <c r="AZ365" t="s">
        <v>74</v>
      </c>
      <c r="BA365" t="s">
        <v>74</v>
      </c>
      <c r="BB365" t="s">
        <v>74</v>
      </c>
      <c r="BC365" t="s">
        <v>74</v>
      </c>
      <c r="BD365">
        <v>1071</v>
      </c>
      <c r="BE365" t="s">
        <v>5205</v>
      </c>
      <c r="BF365" t="str">
        <f>HYPERLINK("http://dx.doi.org/10.1029/2002PA000761","http://dx.doi.org/10.1029/2002PA000761")</f>
        <v>http://dx.doi.org/10.1029/2002PA000761</v>
      </c>
      <c r="BG365" t="s">
        <v>74</v>
      </c>
      <c r="BH365" t="s">
        <v>74</v>
      </c>
      <c r="BI365">
        <v>13</v>
      </c>
      <c r="BJ365" t="s">
        <v>5206</v>
      </c>
      <c r="BK365" t="s">
        <v>569</v>
      </c>
      <c r="BL365" t="s">
        <v>5207</v>
      </c>
      <c r="BM365" t="s">
        <v>5208</v>
      </c>
      <c r="BN365" t="s">
        <v>74</v>
      </c>
      <c r="BO365" t="s">
        <v>572</v>
      </c>
      <c r="BP365" t="s">
        <v>74</v>
      </c>
      <c r="BQ365" t="s">
        <v>74</v>
      </c>
      <c r="BR365" t="s">
        <v>98</v>
      </c>
      <c r="BS365" t="s">
        <v>5209</v>
      </c>
      <c r="BT365" t="str">
        <f>HYPERLINK("https%3A%2F%2Fwww.webofscience.com%2Fwos%2Fwoscc%2Ffull-record%2FWOS:000181214600001","View Full Record in Web of Science")</f>
        <v>View Full Record in Web of Science</v>
      </c>
    </row>
    <row r="366" spans="1:72" x14ac:dyDescent="0.15">
      <c r="A366" t="s">
        <v>552</v>
      </c>
      <c r="B366" t="s">
        <v>5210</v>
      </c>
      <c r="C366" t="s">
        <v>74</v>
      </c>
      <c r="D366" t="s">
        <v>74</v>
      </c>
      <c r="E366" t="s">
        <v>74</v>
      </c>
      <c r="F366" t="s">
        <v>5210</v>
      </c>
      <c r="G366" t="s">
        <v>74</v>
      </c>
      <c r="H366" t="s">
        <v>74</v>
      </c>
      <c r="I366" t="s">
        <v>5211</v>
      </c>
      <c r="J366" t="s">
        <v>5162</v>
      </c>
      <c r="K366" t="s">
        <v>74</v>
      </c>
      <c r="L366" t="s">
        <v>74</v>
      </c>
      <c r="M366" t="s">
        <v>78</v>
      </c>
      <c r="N366" t="s">
        <v>775</v>
      </c>
      <c r="O366" t="s">
        <v>74</v>
      </c>
      <c r="P366" t="s">
        <v>74</v>
      </c>
      <c r="Q366" t="s">
        <v>74</v>
      </c>
      <c r="R366" t="s">
        <v>74</v>
      </c>
      <c r="S366" t="s">
        <v>74</v>
      </c>
      <c r="T366" t="s">
        <v>74</v>
      </c>
      <c r="U366" t="s">
        <v>5212</v>
      </c>
      <c r="V366" t="s">
        <v>5213</v>
      </c>
      <c r="W366" t="s">
        <v>5214</v>
      </c>
      <c r="X366" t="s">
        <v>5215</v>
      </c>
      <c r="Y366" t="s">
        <v>5216</v>
      </c>
      <c r="Z366" t="s">
        <v>74</v>
      </c>
      <c r="AA366" t="s">
        <v>74</v>
      </c>
      <c r="AB366" t="s">
        <v>74</v>
      </c>
      <c r="AC366" t="s">
        <v>74</v>
      </c>
      <c r="AD366" t="s">
        <v>74</v>
      </c>
      <c r="AE366" t="s">
        <v>74</v>
      </c>
      <c r="AF366" t="s">
        <v>74</v>
      </c>
      <c r="AG366">
        <v>12</v>
      </c>
      <c r="AH366">
        <v>2</v>
      </c>
      <c r="AI366">
        <v>3</v>
      </c>
      <c r="AJ366">
        <v>0</v>
      </c>
      <c r="AK366">
        <v>1</v>
      </c>
      <c r="AL366" t="s">
        <v>387</v>
      </c>
      <c r="AM366" t="s">
        <v>388</v>
      </c>
      <c r="AN366" t="s">
        <v>389</v>
      </c>
      <c r="AO366" t="s">
        <v>5169</v>
      </c>
      <c r="AP366" t="s">
        <v>74</v>
      </c>
      <c r="AQ366" t="s">
        <v>74</v>
      </c>
      <c r="AR366" t="s">
        <v>5171</v>
      </c>
      <c r="AS366" t="s">
        <v>5172</v>
      </c>
      <c r="AT366" t="s">
        <v>5217</v>
      </c>
      <c r="AU366">
        <v>2002</v>
      </c>
      <c r="AV366">
        <v>29</v>
      </c>
      <c r="AW366">
        <v>24</v>
      </c>
      <c r="AX366" t="s">
        <v>74</v>
      </c>
      <c r="AY366" t="s">
        <v>74</v>
      </c>
      <c r="AZ366" t="s">
        <v>74</v>
      </c>
      <c r="BA366" t="s">
        <v>74</v>
      </c>
      <c r="BB366" t="s">
        <v>74</v>
      </c>
      <c r="BC366" t="s">
        <v>74</v>
      </c>
      <c r="BD366">
        <v>2202</v>
      </c>
      <c r="BE366" t="s">
        <v>5218</v>
      </c>
      <c r="BF366" t="str">
        <f>HYPERLINK("http://dx.doi.org/10.1029/2002GL016001","http://dx.doi.org/10.1029/2002GL016001")</f>
        <v>http://dx.doi.org/10.1029/2002GL016001</v>
      </c>
      <c r="BG366" t="s">
        <v>74</v>
      </c>
      <c r="BH366" t="s">
        <v>74</v>
      </c>
      <c r="BI366">
        <v>4</v>
      </c>
      <c r="BJ366" t="s">
        <v>1813</v>
      </c>
      <c r="BK366" t="s">
        <v>569</v>
      </c>
      <c r="BL366" t="s">
        <v>1814</v>
      </c>
      <c r="BM366" t="s">
        <v>5219</v>
      </c>
      <c r="BN366" t="s">
        <v>74</v>
      </c>
      <c r="BO366" t="s">
        <v>572</v>
      </c>
      <c r="BP366" t="s">
        <v>74</v>
      </c>
      <c r="BQ366" t="s">
        <v>74</v>
      </c>
      <c r="BR366" t="s">
        <v>98</v>
      </c>
      <c r="BS366" t="s">
        <v>5220</v>
      </c>
      <c r="BT366" t="str">
        <f>HYPERLINK("https%3A%2F%2Fwww.webofscience.com%2Fwos%2Fwoscc%2Ffull-record%2FWOS:000181231400013","View Full Record in Web of Science")</f>
        <v>View Full Record in Web of Science</v>
      </c>
    </row>
    <row r="367" spans="1:72" x14ac:dyDescent="0.15">
      <c r="A367" t="s">
        <v>552</v>
      </c>
      <c r="B367" t="s">
        <v>5221</v>
      </c>
      <c r="C367" t="s">
        <v>74</v>
      </c>
      <c r="D367" t="s">
        <v>74</v>
      </c>
      <c r="E367" t="s">
        <v>74</v>
      </c>
      <c r="F367" t="s">
        <v>5221</v>
      </c>
      <c r="G367" t="s">
        <v>74</v>
      </c>
      <c r="H367" t="s">
        <v>74</v>
      </c>
      <c r="I367" t="s">
        <v>5222</v>
      </c>
      <c r="J367" t="s">
        <v>5223</v>
      </c>
      <c r="K367" t="s">
        <v>74</v>
      </c>
      <c r="L367" t="s">
        <v>74</v>
      </c>
      <c r="M367" t="s">
        <v>78</v>
      </c>
      <c r="N367" t="s">
        <v>775</v>
      </c>
      <c r="O367" t="s">
        <v>74</v>
      </c>
      <c r="P367" t="s">
        <v>74</v>
      </c>
      <c r="Q367" t="s">
        <v>74</v>
      </c>
      <c r="R367" t="s">
        <v>74</v>
      </c>
      <c r="S367" t="s">
        <v>74</v>
      </c>
      <c r="T367" t="s">
        <v>74</v>
      </c>
      <c r="U367" t="s">
        <v>5224</v>
      </c>
      <c r="V367" t="s">
        <v>5225</v>
      </c>
      <c r="W367" t="s">
        <v>5226</v>
      </c>
      <c r="X367" t="s">
        <v>5227</v>
      </c>
      <c r="Y367" t="s">
        <v>5228</v>
      </c>
      <c r="Z367" t="s">
        <v>5229</v>
      </c>
      <c r="AA367" t="s">
        <v>74</v>
      </c>
      <c r="AB367" t="s">
        <v>5230</v>
      </c>
      <c r="AC367" t="s">
        <v>74</v>
      </c>
      <c r="AD367" t="s">
        <v>74</v>
      </c>
      <c r="AE367" t="s">
        <v>74</v>
      </c>
      <c r="AF367" t="s">
        <v>74</v>
      </c>
      <c r="AG367">
        <v>78</v>
      </c>
      <c r="AH367">
        <v>19</v>
      </c>
      <c r="AI367">
        <v>21</v>
      </c>
      <c r="AJ367">
        <v>0</v>
      </c>
      <c r="AK367">
        <v>5</v>
      </c>
      <c r="AL367" t="s">
        <v>387</v>
      </c>
      <c r="AM367" t="s">
        <v>388</v>
      </c>
      <c r="AN367" t="s">
        <v>389</v>
      </c>
      <c r="AO367" t="s">
        <v>5231</v>
      </c>
      <c r="AP367" t="s">
        <v>5232</v>
      </c>
      <c r="AQ367" t="s">
        <v>74</v>
      </c>
      <c r="AR367" t="s">
        <v>5233</v>
      </c>
      <c r="AS367" t="s">
        <v>5234</v>
      </c>
      <c r="AT367" t="s">
        <v>5217</v>
      </c>
      <c r="AU367">
        <v>2002</v>
      </c>
      <c r="AV367">
        <v>107</v>
      </c>
      <c r="AW367" t="s">
        <v>5235</v>
      </c>
      <c r="AX367" t="s">
        <v>74</v>
      </c>
      <c r="AY367" t="s">
        <v>74</v>
      </c>
      <c r="AZ367" t="s">
        <v>74</v>
      </c>
      <c r="BA367" t="s">
        <v>74</v>
      </c>
      <c r="BB367" t="s">
        <v>74</v>
      </c>
      <c r="BC367" t="s">
        <v>74</v>
      </c>
      <c r="BD367">
        <v>1479</v>
      </c>
      <c r="BE367" t="s">
        <v>5236</v>
      </c>
      <c r="BF367" t="str">
        <f>HYPERLINK("http://dx.doi.org/10.1029/2001JA009127","http://dx.doi.org/10.1029/2001JA009127")</f>
        <v>http://dx.doi.org/10.1029/2001JA009127</v>
      </c>
      <c r="BG367" t="s">
        <v>74</v>
      </c>
      <c r="BH367" t="s">
        <v>74</v>
      </c>
      <c r="BI367">
        <v>23</v>
      </c>
      <c r="BJ367" t="s">
        <v>4840</v>
      </c>
      <c r="BK367" t="s">
        <v>569</v>
      </c>
      <c r="BL367" t="s">
        <v>4840</v>
      </c>
      <c r="BM367" t="s">
        <v>5237</v>
      </c>
      <c r="BN367" t="s">
        <v>74</v>
      </c>
      <c r="BO367" t="s">
        <v>74</v>
      </c>
      <c r="BP367" t="s">
        <v>74</v>
      </c>
      <c r="BQ367" t="s">
        <v>74</v>
      </c>
      <c r="BR367" t="s">
        <v>98</v>
      </c>
      <c r="BS367" t="s">
        <v>5238</v>
      </c>
      <c r="BT367" t="str">
        <f>HYPERLINK("https%3A%2F%2Fwww.webofscience.com%2Fwos%2Fwoscc%2Ffull-record%2FWOS:000181242700001","View Full Record in Web of Science")</f>
        <v>View Full Record in Web of Science</v>
      </c>
    </row>
    <row r="368" spans="1:72" x14ac:dyDescent="0.15">
      <c r="A368" t="s">
        <v>552</v>
      </c>
      <c r="B368" t="s">
        <v>5239</v>
      </c>
      <c r="C368" t="s">
        <v>74</v>
      </c>
      <c r="D368" t="s">
        <v>74</v>
      </c>
      <c r="E368" t="s">
        <v>74</v>
      </c>
      <c r="F368" t="s">
        <v>5239</v>
      </c>
      <c r="G368" t="s">
        <v>74</v>
      </c>
      <c r="H368" t="s">
        <v>74</v>
      </c>
      <c r="I368" t="s">
        <v>5240</v>
      </c>
      <c r="J368" t="s">
        <v>5223</v>
      </c>
      <c r="K368" t="s">
        <v>74</v>
      </c>
      <c r="L368" t="s">
        <v>74</v>
      </c>
      <c r="M368" t="s">
        <v>78</v>
      </c>
      <c r="N368" t="s">
        <v>775</v>
      </c>
      <c r="O368" t="s">
        <v>74</v>
      </c>
      <c r="P368" t="s">
        <v>74</v>
      </c>
      <c r="Q368" t="s">
        <v>74</v>
      </c>
      <c r="R368" t="s">
        <v>74</v>
      </c>
      <c r="S368" t="s">
        <v>74</v>
      </c>
      <c r="T368" t="s">
        <v>74</v>
      </c>
      <c r="U368" t="s">
        <v>5241</v>
      </c>
      <c r="V368" t="s">
        <v>5242</v>
      </c>
      <c r="W368" t="s">
        <v>5243</v>
      </c>
      <c r="X368" t="s">
        <v>5244</v>
      </c>
      <c r="Y368" t="s">
        <v>5228</v>
      </c>
      <c r="Z368" t="s">
        <v>5245</v>
      </c>
      <c r="AA368" t="s">
        <v>5246</v>
      </c>
      <c r="AB368" t="s">
        <v>74</v>
      </c>
      <c r="AC368" t="s">
        <v>74</v>
      </c>
      <c r="AD368" t="s">
        <v>74</v>
      </c>
      <c r="AE368" t="s">
        <v>74</v>
      </c>
      <c r="AF368" t="s">
        <v>74</v>
      </c>
      <c r="AG368">
        <v>79</v>
      </c>
      <c r="AH368">
        <v>9</v>
      </c>
      <c r="AI368">
        <v>9</v>
      </c>
      <c r="AJ368">
        <v>0</v>
      </c>
      <c r="AK368">
        <v>5</v>
      </c>
      <c r="AL368" t="s">
        <v>387</v>
      </c>
      <c r="AM368" t="s">
        <v>388</v>
      </c>
      <c r="AN368" t="s">
        <v>389</v>
      </c>
      <c r="AO368" t="s">
        <v>5231</v>
      </c>
      <c r="AP368" t="s">
        <v>5232</v>
      </c>
      <c r="AQ368" t="s">
        <v>74</v>
      </c>
      <c r="AR368" t="s">
        <v>5233</v>
      </c>
      <c r="AS368" t="s">
        <v>5234</v>
      </c>
      <c r="AT368" t="s">
        <v>5217</v>
      </c>
      <c r="AU368">
        <v>2002</v>
      </c>
      <c r="AV368">
        <v>107</v>
      </c>
      <c r="AW368" t="s">
        <v>5235</v>
      </c>
      <c r="AX368" t="s">
        <v>74</v>
      </c>
      <c r="AY368" t="s">
        <v>74</v>
      </c>
      <c r="AZ368" t="s">
        <v>74</v>
      </c>
      <c r="BA368" t="s">
        <v>74</v>
      </c>
      <c r="BB368" t="s">
        <v>74</v>
      </c>
      <c r="BC368" t="s">
        <v>74</v>
      </c>
      <c r="BD368">
        <v>1480</v>
      </c>
      <c r="BE368" t="s">
        <v>5247</v>
      </c>
      <c r="BF368" t="str">
        <f>HYPERLINK("http://dx.doi.org/10.1029/2001JA009129","http://dx.doi.org/10.1029/2001JA009129")</f>
        <v>http://dx.doi.org/10.1029/2001JA009129</v>
      </c>
      <c r="BG368" t="s">
        <v>74</v>
      </c>
      <c r="BH368" t="s">
        <v>74</v>
      </c>
      <c r="BI368">
        <v>21</v>
      </c>
      <c r="BJ368" t="s">
        <v>4840</v>
      </c>
      <c r="BK368" t="s">
        <v>569</v>
      </c>
      <c r="BL368" t="s">
        <v>4840</v>
      </c>
      <c r="BM368" t="s">
        <v>5237</v>
      </c>
      <c r="BN368" t="s">
        <v>74</v>
      </c>
      <c r="BO368" t="s">
        <v>572</v>
      </c>
      <c r="BP368" t="s">
        <v>74</v>
      </c>
      <c r="BQ368" t="s">
        <v>74</v>
      </c>
      <c r="BR368" t="s">
        <v>98</v>
      </c>
      <c r="BS368" t="s">
        <v>5248</v>
      </c>
      <c r="BT368" t="str">
        <f>HYPERLINK("https%3A%2F%2Fwww.webofscience.com%2Fwos%2Fwoscc%2Ffull-record%2FWOS:000181242700002","View Full Record in Web of Science")</f>
        <v>View Full Record in Web of Science</v>
      </c>
    </row>
    <row r="369" spans="1:72" x14ac:dyDescent="0.15">
      <c r="A369" t="s">
        <v>552</v>
      </c>
      <c r="B369" t="s">
        <v>5249</v>
      </c>
      <c r="C369" t="s">
        <v>74</v>
      </c>
      <c r="D369" t="s">
        <v>74</v>
      </c>
      <c r="E369" t="s">
        <v>74</v>
      </c>
      <c r="F369" t="s">
        <v>5249</v>
      </c>
      <c r="G369" t="s">
        <v>74</v>
      </c>
      <c r="H369" t="s">
        <v>74</v>
      </c>
      <c r="I369" t="s">
        <v>5250</v>
      </c>
      <c r="J369" t="s">
        <v>5162</v>
      </c>
      <c r="K369" t="s">
        <v>74</v>
      </c>
      <c r="L369" t="s">
        <v>74</v>
      </c>
      <c r="M369" t="s">
        <v>78</v>
      </c>
      <c r="N369" t="s">
        <v>775</v>
      </c>
      <c r="O369" t="s">
        <v>74</v>
      </c>
      <c r="P369" t="s">
        <v>74</v>
      </c>
      <c r="Q369" t="s">
        <v>74</v>
      </c>
      <c r="R369" t="s">
        <v>74</v>
      </c>
      <c r="S369" t="s">
        <v>74</v>
      </c>
      <c r="T369" t="s">
        <v>74</v>
      </c>
      <c r="U369" t="s">
        <v>5251</v>
      </c>
      <c r="V369" t="s">
        <v>5252</v>
      </c>
      <c r="W369" t="s">
        <v>5253</v>
      </c>
      <c r="X369" t="s">
        <v>5254</v>
      </c>
      <c r="Y369" t="s">
        <v>5255</v>
      </c>
      <c r="Z369" t="s">
        <v>74</v>
      </c>
      <c r="AA369" t="s">
        <v>74</v>
      </c>
      <c r="AB369" t="s">
        <v>74</v>
      </c>
      <c r="AC369" t="s">
        <v>74</v>
      </c>
      <c r="AD369" t="s">
        <v>74</v>
      </c>
      <c r="AE369" t="s">
        <v>74</v>
      </c>
      <c r="AF369" t="s">
        <v>74</v>
      </c>
      <c r="AG369">
        <v>9</v>
      </c>
      <c r="AH369">
        <v>5</v>
      </c>
      <c r="AI369">
        <v>5</v>
      </c>
      <c r="AJ369">
        <v>0</v>
      </c>
      <c r="AK369">
        <v>4</v>
      </c>
      <c r="AL369" t="s">
        <v>387</v>
      </c>
      <c r="AM369" t="s">
        <v>388</v>
      </c>
      <c r="AN369" t="s">
        <v>389</v>
      </c>
      <c r="AO369" t="s">
        <v>5169</v>
      </c>
      <c r="AP369" t="s">
        <v>5170</v>
      </c>
      <c r="AQ369" t="s">
        <v>74</v>
      </c>
      <c r="AR369" t="s">
        <v>5171</v>
      </c>
      <c r="AS369" t="s">
        <v>5172</v>
      </c>
      <c r="AT369" t="s">
        <v>5256</v>
      </c>
      <c r="AU369">
        <v>2002</v>
      </c>
      <c r="AV369">
        <v>29</v>
      </c>
      <c r="AW369">
        <v>24</v>
      </c>
      <c r="AX369" t="s">
        <v>74</v>
      </c>
      <c r="AY369" t="s">
        <v>74</v>
      </c>
      <c r="AZ369" t="s">
        <v>74</v>
      </c>
      <c r="BA369" t="s">
        <v>74</v>
      </c>
      <c r="BB369" t="s">
        <v>74</v>
      </c>
      <c r="BC369" t="s">
        <v>74</v>
      </c>
      <c r="BD369">
        <v>2184</v>
      </c>
      <c r="BE369" t="s">
        <v>5257</v>
      </c>
      <c r="BF369" t="str">
        <f>HYPERLINK("http://dx.doi.org/10.1029/2002GL015759","http://dx.doi.org/10.1029/2002GL015759")</f>
        <v>http://dx.doi.org/10.1029/2002GL015759</v>
      </c>
      <c r="BG369" t="s">
        <v>74</v>
      </c>
      <c r="BH369" t="s">
        <v>74</v>
      </c>
      <c r="BI369">
        <v>4</v>
      </c>
      <c r="BJ369" t="s">
        <v>1813</v>
      </c>
      <c r="BK369" t="s">
        <v>569</v>
      </c>
      <c r="BL369" t="s">
        <v>1814</v>
      </c>
      <c r="BM369" t="s">
        <v>5258</v>
      </c>
      <c r="BN369" t="s">
        <v>74</v>
      </c>
      <c r="BO369" t="s">
        <v>572</v>
      </c>
      <c r="BP369" t="s">
        <v>74</v>
      </c>
      <c r="BQ369" t="s">
        <v>74</v>
      </c>
      <c r="BR369" t="s">
        <v>98</v>
      </c>
      <c r="BS369" t="s">
        <v>5259</v>
      </c>
      <c r="BT369" t="str">
        <f>HYPERLINK("https%3A%2F%2Fwww.webofscience.com%2Fwos%2Fwoscc%2Ffull-record%2FWOS:000181230200004","View Full Record in Web of Science")</f>
        <v>View Full Record in Web of Science</v>
      </c>
    </row>
    <row r="370" spans="1:72" x14ac:dyDescent="0.15">
      <c r="A370" t="s">
        <v>552</v>
      </c>
      <c r="B370" t="s">
        <v>5260</v>
      </c>
      <c r="C370" t="s">
        <v>74</v>
      </c>
      <c r="D370" t="s">
        <v>74</v>
      </c>
      <c r="E370" t="s">
        <v>74</v>
      </c>
      <c r="F370" t="s">
        <v>5260</v>
      </c>
      <c r="G370" t="s">
        <v>74</v>
      </c>
      <c r="H370" t="s">
        <v>74</v>
      </c>
      <c r="I370" t="s">
        <v>5261</v>
      </c>
      <c r="J370" t="s">
        <v>5091</v>
      </c>
      <c r="K370" t="s">
        <v>74</v>
      </c>
      <c r="L370" t="s">
        <v>74</v>
      </c>
      <c r="M370" t="s">
        <v>78</v>
      </c>
      <c r="N370" t="s">
        <v>775</v>
      </c>
      <c r="O370" t="s">
        <v>74</v>
      </c>
      <c r="P370" t="s">
        <v>74</v>
      </c>
      <c r="Q370" t="s">
        <v>74</v>
      </c>
      <c r="R370" t="s">
        <v>74</v>
      </c>
      <c r="S370" t="s">
        <v>74</v>
      </c>
      <c r="T370" t="s">
        <v>5262</v>
      </c>
      <c r="U370" t="s">
        <v>5263</v>
      </c>
      <c r="V370" t="s">
        <v>5264</v>
      </c>
      <c r="W370" t="s">
        <v>5265</v>
      </c>
      <c r="X370" t="s">
        <v>5266</v>
      </c>
      <c r="Y370" t="s">
        <v>5267</v>
      </c>
      <c r="Z370" t="s">
        <v>5268</v>
      </c>
      <c r="AA370" t="s">
        <v>5269</v>
      </c>
      <c r="AB370" t="s">
        <v>5270</v>
      </c>
      <c r="AC370" t="s">
        <v>74</v>
      </c>
      <c r="AD370" t="s">
        <v>74</v>
      </c>
      <c r="AE370" t="s">
        <v>74</v>
      </c>
      <c r="AF370" t="s">
        <v>74</v>
      </c>
      <c r="AG370">
        <v>60</v>
      </c>
      <c r="AH370">
        <v>39</v>
      </c>
      <c r="AI370">
        <v>39</v>
      </c>
      <c r="AJ370">
        <v>1</v>
      </c>
      <c r="AK370">
        <v>4</v>
      </c>
      <c r="AL370" t="s">
        <v>387</v>
      </c>
      <c r="AM370" t="s">
        <v>388</v>
      </c>
      <c r="AN370" t="s">
        <v>389</v>
      </c>
      <c r="AO370" t="s">
        <v>5101</v>
      </c>
      <c r="AP370" t="s">
        <v>5188</v>
      </c>
      <c r="AQ370" t="s">
        <v>74</v>
      </c>
      <c r="AR370" t="s">
        <v>5102</v>
      </c>
      <c r="AS370" t="s">
        <v>5103</v>
      </c>
      <c r="AT370" t="s">
        <v>5256</v>
      </c>
      <c r="AU370">
        <v>2002</v>
      </c>
      <c r="AV370">
        <v>108</v>
      </c>
      <c r="AW370" t="s">
        <v>5271</v>
      </c>
      <c r="AX370" t="s">
        <v>74</v>
      </c>
      <c r="AY370" t="s">
        <v>74</v>
      </c>
      <c r="AZ370" t="s">
        <v>74</v>
      </c>
      <c r="BA370" t="s">
        <v>74</v>
      </c>
      <c r="BB370" t="s">
        <v>74</v>
      </c>
      <c r="BC370" t="s">
        <v>74</v>
      </c>
      <c r="BD370">
        <v>8322</v>
      </c>
      <c r="BE370" t="s">
        <v>5272</v>
      </c>
      <c r="BF370" t="str">
        <f>HYPERLINK("http://dx.doi.org/10.1029/2001JD000445","http://dx.doi.org/10.1029/2001JD000445")</f>
        <v>http://dx.doi.org/10.1029/2001JD000445</v>
      </c>
      <c r="BG370" t="s">
        <v>74</v>
      </c>
      <c r="BH370" t="s">
        <v>74</v>
      </c>
      <c r="BI370">
        <v>25</v>
      </c>
      <c r="BJ370" t="s">
        <v>1237</v>
      </c>
      <c r="BK370" t="s">
        <v>569</v>
      </c>
      <c r="BL370" t="s">
        <v>1237</v>
      </c>
      <c r="BM370" t="s">
        <v>5273</v>
      </c>
      <c r="BN370" t="s">
        <v>74</v>
      </c>
      <c r="BO370" t="s">
        <v>74</v>
      </c>
      <c r="BP370" t="s">
        <v>74</v>
      </c>
      <c r="BQ370" t="s">
        <v>74</v>
      </c>
      <c r="BR370" t="s">
        <v>98</v>
      </c>
      <c r="BS370" t="s">
        <v>5274</v>
      </c>
      <c r="BT370" t="str">
        <f>HYPERLINK("https%3A%2F%2Fwww.webofscience.com%2Fwos%2Fwoscc%2Ffull-record%2FWOS:000181260200001","View Full Record in Web of Science")</f>
        <v>View Full Record in Web of Science</v>
      </c>
    </row>
    <row r="371" spans="1:72" x14ac:dyDescent="0.15">
      <c r="A371" t="s">
        <v>552</v>
      </c>
      <c r="B371" t="s">
        <v>5275</v>
      </c>
      <c r="C371" t="s">
        <v>74</v>
      </c>
      <c r="D371" t="s">
        <v>74</v>
      </c>
      <c r="E371" t="s">
        <v>74</v>
      </c>
      <c r="F371" t="s">
        <v>5275</v>
      </c>
      <c r="G371" t="s">
        <v>74</v>
      </c>
      <c r="H371" t="s">
        <v>74</v>
      </c>
      <c r="I371" t="s">
        <v>5276</v>
      </c>
      <c r="J371" t="s">
        <v>5111</v>
      </c>
      <c r="K371" t="s">
        <v>74</v>
      </c>
      <c r="L371" t="s">
        <v>74</v>
      </c>
      <c r="M371" t="s">
        <v>78</v>
      </c>
      <c r="N371" t="s">
        <v>775</v>
      </c>
      <c r="O371" t="s">
        <v>74</v>
      </c>
      <c r="P371" t="s">
        <v>74</v>
      </c>
      <c r="Q371" t="s">
        <v>74</v>
      </c>
      <c r="R371" t="s">
        <v>74</v>
      </c>
      <c r="S371" t="s">
        <v>74</v>
      </c>
      <c r="T371" t="s">
        <v>5277</v>
      </c>
      <c r="U371" t="s">
        <v>5278</v>
      </c>
      <c r="V371" t="s">
        <v>5279</v>
      </c>
      <c r="W371" t="s">
        <v>3992</v>
      </c>
      <c r="X371" t="s">
        <v>239</v>
      </c>
      <c r="Y371" t="s">
        <v>3993</v>
      </c>
      <c r="Z371" t="s">
        <v>5280</v>
      </c>
      <c r="AA371" t="s">
        <v>74</v>
      </c>
      <c r="AB371" t="s">
        <v>74</v>
      </c>
      <c r="AC371" t="s">
        <v>74</v>
      </c>
      <c r="AD371" t="s">
        <v>74</v>
      </c>
      <c r="AE371" t="s">
        <v>74</v>
      </c>
      <c r="AF371" t="s">
        <v>74</v>
      </c>
      <c r="AG371">
        <v>23</v>
      </c>
      <c r="AH371">
        <v>38</v>
      </c>
      <c r="AI371">
        <v>43</v>
      </c>
      <c r="AJ371">
        <v>0</v>
      </c>
      <c r="AK371">
        <v>4</v>
      </c>
      <c r="AL371" t="s">
        <v>387</v>
      </c>
      <c r="AM371" t="s">
        <v>388</v>
      </c>
      <c r="AN371" t="s">
        <v>389</v>
      </c>
      <c r="AO371" t="s">
        <v>5120</v>
      </c>
      <c r="AP371" t="s">
        <v>5121</v>
      </c>
      <c r="AQ371" t="s">
        <v>74</v>
      </c>
      <c r="AR371" t="s">
        <v>5122</v>
      </c>
      <c r="AS371" t="s">
        <v>5123</v>
      </c>
      <c r="AT371" t="s">
        <v>5256</v>
      </c>
      <c r="AU371">
        <v>2002</v>
      </c>
      <c r="AV371">
        <v>108</v>
      </c>
      <c r="AW371" t="s">
        <v>5281</v>
      </c>
      <c r="AX371" t="s">
        <v>74</v>
      </c>
      <c r="AY371" t="s">
        <v>74</v>
      </c>
      <c r="AZ371" t="s">
        <v>74</v>
      </c>
      <c r="BA371" t="s">
        <v>74</v>
      </c>
      <c r="BB371" t="s">
        <v>74</v>
      </c>
      <c r="BC371" t="s">
        <v>74</v>
      </c>
      <c r="BD371">
        <v>8076</v>
      </c>
      <c r="BE371" t="s">
        <v>5282</v>
      </c>
      <c r="BF371" t="str">
        <f>HYPERLINK("http://dx.doi.org/10.1029/2000JC000380","http://dx.doi.org/10.1029/2000JC000380")</f>
        <v>http://dx.doi.org/10.1029/2000JC000380</v>
      </c>
      <c r="BG371" t="s">
        <v>74</v>
      </c>
      <c r="BH371" t="s">
        <v>74</v>
      </c>
      <c r="BI371">
        <v>12</v>
      </c>
      <c r="BJ371" t="s">
        <v>1394</v>
      </c>
      <c r="BK371" t="s">
        <v>569</v>
      </c>
      <c r="BL371" t="s">
        <v>1394</v>
      </c>
      <c r="BM371" t="s">
        <v>5283</v>
      </c>
      <c r="BN371" t="s">
        <v>74</v>
      </c>
      <c r="BO371" t="s">
        <v>3220</v>
      </c>
      <c r="BP371" t="s">
        <v>74</v>
      </c>
      <c r="BQ371" t="s">
        <v>74</v>
      </c>
      <c r="BR371" t="s">
        <v>98</v>
      </c>
      <c r="BS371" t="s">
        <v>5284</v>
      </c>
      <c r="BT371" t="str">
        <f>HYPERLINK("https%3A%2F%2Fwww.webofscience.com%2Fwos%2Fwoscc%2Ffull-record%2FWOS:000181232800002","View Full Record in Web of Science")</f>
        <v>View Full Record in Web of Science</v>
      </c>
    </row>
    <row r="372" spans="1:72" x14ac:dyDescent="0.15">
      <c r="A372" t="s">
        <v>552</v>
      </c>
      <c r="B372" t="s">
        <v>5285</v>
      </c>
      <c r="C372" t="s">
        <v>74</v>
      </c>
      <c r="D372" t="s">
        <v>74</v>
      </c>
      <c r="E372" t="s">
        <v>74</v>
      </c>
      <c r="F372" t="s">
        <v>5285</v>
      </c>
      <c r="G372" t="s">
        <v>74</v>
      </c>
      <c r="H372" t="s">
        <v>74</v>
      </c>
      <c r="I372" t="s">
        <v>5286</v>
      </c>
      <c r="J372" t="s">
        <v>5111</v>
      </c>
      <c r="K372" t="s">
        <v>74</v>
      </c>
      <c r="L372" t="s">
        <v>74</v>
      </c>
      <c r="M372" t="s">
        <v>78</v>
      </c>
      <c r="N372" t="s">
        <v>775</v>
      </c>
      <c r="O372" t="s">
        <v>74</v>
      </c>
      <c r="P372" t="s">
        <v>74</v>
      </c>
      <c r="Q372" t="s">
        <v>74</v>
      </c>
      <c r="R372" t="s">
        <v>74</v>
      </c>
      <c r="S372" t="s">
        <v>74</v>
      </c>
      <c r="T372" t="s">
        <v>5287</v>
      </c>
      <c r="U372" t="s">
        <v>5288</v>
      </c>
      <c r="V372" t="s">
        <v>5289</v>
      </c>
      <c r="W372" t="s">
        <v>5290</v>
      </c>
      <c r="X372" t="s">
        <v>239</v>
      </c>
      <c r="Y372" t="s">
        <v>5291</v>
      </c>
      <c r="Z372" t="s">
        <v>5292</v>
      </c>
      <c r="AA372" t="s">
        <v>5293</v>
      </c>
      <c r="AB372" t="s">
        <v>74</v>
      </c>
      <c r="AC372" t="s">
        <v>74</v>
      </c>
      <c r="AD372" t="s">
        <v>74</v>
      </c>
      <c r="AE372" t="s">
        <v>74</v>
      </c>
      <c r="AF372" t="s">
        <v>74</v>
      </c>
      <c r="AG372">
        <v>28</v>
      </c>
      <c r="AH372">
        <v>47</v>
      </c>
      <c r="AI372">
        <v>51</v>
      </c>
      <c r="AJ372">
        <v>0</v>
      </c>
      <c r="AK372">
        <v>7</v>
      </c>
      <c r="AL372" t="s">
        <v>387</v>
      </c>
      <c r="AM372" t="s">
        <v>388</v>
      </c>
      <c r="AN372" t="s">
        <v>389</v>
      </c>
      <c r="AO372" t="s">
        <v>5120</v>
      </c>
      <c r="AP372" t="s">
        <v>5121</v>
      </c>
      <c r="AQ372" t="s">
        <v>74</v>
      </c>
      <c r="AR372" t="s">
        <v>5122</v>
      </c>
      <c r="AS372" t="s">
        <v>5123</v>
      </c>
      <c r="AT372" t="s">
        <v>5256</v>
      </c>
      <c r="AU372">
        <v>2002</v>
      </c>
      <c r="AV372">
        <v>108</v>
      </c>
      <c r="AW372" t="s">
        <v>5281</v>
      </c>
      <c r="AX372" t="s">
        <v>74</v>
      </c>
      <c r="AY372" t="s">
        <v>74</v>
      </c>
      <c r="AZ372" t="s">
        <v>74</v>
      </c>
      <c r="BA372" t="s">
        <v>74</v>
      </c>
      <c r="BB372" t="s">
        <v>74</v>
      </c>
      <c r="BC372" t="s">
        <v>74</v>
      </c>
      <c r="BD372">
        <v>8075</v>
      </c>
      <c r="BE372" t="s">
        <v>5294</v>
      </c>
      <c r="BF372" t="str">
        <f>HYPERLINK("http://dx.doi.org/10.1029/2000JC000299","http://dx.doi.org/10.1029/2000JC000299")</f>
        <v>http://dx.doi.org/10.1029/2000JC000299</v>
      </c>
      <c r="BG372" t="s">
        <v>74</v>
      </c>
      <c r="BH372" t="s">
        <v>74</v>
      </c>
      <c r="BI372">
        <v>10</v>
      </c>
      <c r="BJ372" t="s">
        <v>1394</v>
      </c>
      <c r="BK372" t="s">
        <v>569</v>
      </c>
      <c r="BL372" t="s">
        <v>1394</v>
      </c>
      <c r="BM372" t="s">
        <v>5283</v>
      </c>
      <c r="BN372" t="s">
        <v>74</v>
      </c>
      <c r="BO372" t="s">
        <v>572</v>
      </c>
      <c r="BP372" t="s">
        <v>74</v>
      </c>
      <c r="BQ372" t="s">
        <v>74</v>
      </c>
      <c r="BR372" t="s">
        <v>98</v>
      </c>
      <c r="BS372" t="s">
        <v>5295</v>
      </c>
      <c r="BT372" t="str">
        <f>HYPERLINK("https%3A%2F%2Fwww.webofscience.com%2Fwos%2Fwoscc%2Ffull-record%2FWOS:000181232800001","View Full Record in Web of Science")</f>
        <v>View Full Record in Web of Science</v>
      </c>
    </row>
    <row r="373" spans="1:72" x14ac:dyDescent="0.15">
      <c r="A373" t="s">
        <v>552</v>
      </c>
      <c r="B373" t="s">
        <v>5296</v>
      </c>
      <c r="C373" t="s">
        <v>74</v>
      </c>
      <c r="D373" t="s">
        <v>74</v>
      </c>
      <c r="E373" t="s">
        <v>74</v>
      </c>
      <c r="F373" t="s">
        <v>5296</v>
      </c>
      <c r="G373" t="s">
        <v>74</v>
      </c>
      <c r="H373" t="s">
        <v>74</v>
      </c>
      <c r="I373" t="s">
        <v>5297</v>
      </c>
      <c r="J373" t="s">
        <v>5223</v>
      </c>
      <c r="K373" t="s">
        <v>74</v>
      </c>
      <c r="L373" t="s">
        <v>74</v>
      </c>
      <c r="M373" t="s">
        <v>78</v>
      </c>
      <c r="N373" t="s">
        <v>775</v>
      </c>
      <c r="O373" t="s">
        <v>74</v>
      </c>
      <c r="P373" t="s">
        <v>74</v>
      </c>
      <c r="Q373" t="s">
        <v>74</v>
      </c>
      <c r="R373" t="s">
        <v>74</v>
      </c>
      <c r="S373" t="s">
        <v>74</v>
      </c>
      <c r="T373" t="s">
        <v>5298</v>
      </c>
      <c r="U373" t="s">
        <v>5299</v>
      </c>
      <c r="V373" t="s">
        <v>5300</v>
      </c>
      <c r="W373" t="s">
        <v>238</v>
      </c>
      <c r="X373" t="s">
        <v>239</v>
      </c>
      <c r="Y373" t="s">
        <v>489</v>
      </c>
      <c r="Z373" t="s">
        <v>5301</v>
      </c>
      <c r="AA373" t="s">
        <v>5302</v>
      </c>
      <c r="AB373" t="s">
        <v>5303</v>
      </c>
      <c r="AC373" t="s">
        <v>74</v>
      </c>
      <c r="AD373" t="s">
        <v>74</v>
      </c>
      <c r="AE373" t="s">
        <v>74</v>
      </c>
      <c r="AF373" t="s">
        <v>74</v>
      </c>
      <c r="AG373">
        <v>28</v>
      </c>
      <c r="AH373">
        <v>17</v>
      </c>
      <c r="AI373">
        <v>17</v>
      </c>
      <c r="AJ373">
        <v>0</v>
      </c>
      <c r="AK373">
        <v>4</v>
      </c>
      <c r="AL373" t="s">
        <v>387</v>
      </c>
      <c r="AM373" t="s">
        <v>388</v>
      </c>
      <c r="AN373" t="s">
        <v>389</v>
      </c>
      <c r="AO373" t="s">
        <v>5231</v>
      </c>
      <c r="AP373" t="s">
        <v>5232</v>
      </c>
      <c r="AQ373" t="s">
        <v>74</v>
      </c>
      <c r="AR373" t="s">
        <v>5233</v>
      </c>
      <c r="AS373" t="s">
        <v>5234</v>
      </c>
      <c r="AT373" t="s">
        <v>5256</v>
      </c>
      <c r="AU373">
        <v>2002</v>
      </c>
      <c r="AV373">
        <v>107</v>
      </c>
      <c r="AW373" t="s">
        <v>5235</v>
      </c>
      <c r="AX373" t="s">
        <v>74</v>
      </c>
      <c r="AY373" t="s">
        <v>74</v>
      </c>
      <c r="AZ373" t="s">
        <v>74</v>
      </c>
      <c r="BA373" t="s">
        <v>74</v>
      </c>
      <c r="BB373" t="s">
        <v>74</v>
      </c>
      <c r="BC373" t="s">
        <v>74</v>
      </c>
      <c r="BD373">
        <v>1470</v>
      </c>
      <c r="BE373" t="s">
        <v>5304</v>
      </c>
      <c r="BF373" t="str">
        <f>HYPERLINK("http://dx.doi.org/10.1029/2002JA009402","http://dx.doi.org/10.1029/2002JA009402")</f>
        <v>http://dx.doi.org/10.1029/2002JA009402</v>
      </c>
      <c r="BG373" t="s">
        <v>74</v>
      </c>
      <c r="BH373" t="s">
        <v>74</v>
      </c>
      <c r="BI373">
        <v>12</v>
      </c>
      <c r="BJ373" t="s">
        <v>4840</v>
      </c>
      <c r="BK373" t="s">
        <v>569</v>
      </c>
      <c r="BL373" t="s">
        <v>4840</v>
      </c>
      <c r="BM373" t="s">
        <v>5305</v>
      </c>
      <c r="BN373" t="s">
        <v>74</v>
      </c>
      <c r="BO373" t="s">
        <v>3274</v>
      </c>
      <c r="BP373" t="s">
        <v>74</v>
      </c>
      <c r="BQ373" t="s">
        <v>74</v>
      </c>
      <c r="BR373" t="s">
        <v>98</v>
      </c>
      <c r="BS373" t="s">
        <v>5306</v>
      </c>
      <c r="BT373" t="str">
        <f>HYPERLINK("https%3A%2F%2Fwww.webofscience.com%2Fwos%2Fwoscc%2Ffull-record%2FWOS:000181241900008","View Full Record in Web of Science")</f>
        <v>View Full Record in Web of Science</v>
      </c>
    </row>
    <row r="374" spans="1:72" x14ac:dyDescent="0.15">
      <c r="A374" t="s">
        <v>552</v>
      </c>
      <c r="B374" t="s">
        <v>5307</v>
      </c>
      <c r="C374" t="s">
        <v>74</v>
      </c>
      <c r="D374" t="s">
        <v>74</v>
      </c>
      <c r="E374" t="s">
        <v>74</v>
      </c>
      <c r="F374" t="s">
        <v>5307</v>
      </c>
      <c r="G374" t="s">
        <v>74</v>
      </c>
      <c r="H374" t="s">
        <v>74</v>
      </c>
      <c r="I374" t="s">
        <v>5308</v>
      </c>
      <c r="J374" t="s">
        <v>5162</v>
      </c>
      <c r="K374" t="s">
        <v>74</v>
      </c>
      <c r="L374" t="s">
        <v>74</v>
      </c>
      <c r="M374" t="s">
        <v>78</v>
      </c>
      <c r="N374" t="s">
        <v>775</v>
      </c>
      <c r="O374" t="s">
        <v>74</v>
      </c>
      <c r="P374" t="s">
        <v>74</v>
      </c>
      <c r="Q374" t="s">
        <v>74</v>
      </c>
      <c r="R374" t="s">
        <v>74</v>
      </c>
      <c r="S374" t="s">
        <v>74</v>
      </c>
      <c r="T374" t="s">
        <v>74</v>
      </c>
      <c r="U374" t="s">
        <v>5309</v>
      </c>
      <c r="V374" t="s">
        <v>5310</v>
      </c>
      <c r="W374" t="s">
        <v>5311</v>
      </c>
      <c r="X374" t="s">
        <v>5312</v>
      </c>
      <c r="Y374" t="s">
        <v>5313</v>
      </c>
      <c r="Z374" t="s">
        <v>5314</v>
      </c>
      <c r="AA374" t="s">
        <v>5315</v>
      </c>
      <c r="AB374" t="s">
        <v>74</v>
      </c>
      <c r="AC374" t="s">
        <v>74</v>
      </c>
      <c r="AD374" t="s">
        <v>74</v>
      </c>
      <c r="AE374" t="s">
        <v>74</v>
      </c>
      <c r="AF374" t="s">
        <v>74</v>
      </c>
      <c r="AG374">
        <v>17</v>
      </c>
      <c r="AH374">
        <v>20</v>
      </c>
      <c r="AI374">
        <v>21</v>
      </c>
      <c r="AJ374">
        <v>3</v>
      </c>
      <c r="AK374">
        <v>18</v>
      </c>
      <c r="AL374" t="s">
        <v>387</v>
      </c>
      <c r="AM374" t="s">
        <v>388</v>
      </c>
      <c r="AN374" t="s">
        <v>389</v>
      </c>
      <c r="AO374" t="s">
        <v>5169</v>
      </c>
      <c r="AP374" t="s">
        <v>5170</v>
      </c>
      <c r="AQ374" t="s">
        <v>74</v>
      </c>
      <c r="AR374" t="s">
        <v>5171</v>
      </c>
      <c r="AS374" t="s">
        <v>5172</v>
      </c>
      <c r="AT374" t="s">
        <v>5316</v>
      </c>
      <c r="AU374">
        <v>2002</v>
      </c>
      <c r="AV374">
        <v>29</v>
      </c>
      <c r="AW374">
        <v>24</v>
      </c>
      <c r="AX374" t="s">
        <v>74</v>
      </c>
      <c r="AY374" t="s">
        <v>74</v>
      </c>
      <c r="AZ374" t="s">
        <v>74</v>
      </c>
      <c r="BA374" t="s">
        <v>74</v>
      </c>
      <c r="BB374" t="s">
        <v>74</v>
      </c>
      <c r="BC374" t="s">
        <v>74</v>
      </c>
      <c r="BD374">
        <v>2173</v>
      </c>
      <c r="BE374" t="s">
        <v>5317</v>
      </c>
      <c r="BF374" t="str">
        <f>HYPERLINK("http://dx.doi.org/10.1029/2002GL015919","http://dx.doi.org/10.1029/2002GL015919")</f>
        <v>http://dx.doi.org/10.1029/2002GL015919</v>
      </c>
      <c r="BG374" t="s">
        <v>74</v>
      </c>
      <c r="BH374" t="s">
        <v>74</v>
      </c>
      <c r="BI374">
        <v>4</v>
      </c>
      <c r="BJ374" t="s">
        <v>1813</v>
      </c>
      <c r="BK374" t="s">
        <v>569</v>
      </c>
      <c r="BL374" t="s">
        <v>1814</v>
      </c>
      <c r="BM374" t="s">
        <v>5318</v>
      </c>
      <c r="BN374" t="s">
        <v>74</v>
      </c>
      <c r="BO374" t="s">
        <v>74</v>
      </c>
      <c r="BP374" t="s">
        <v>74</v>
      </c>
      <c r="BQ374" t="s">
        <v>74</v>
      </c>
      <c r="BR374" t="s">
        <v>98</v>
      </c>
      <c r="BS374" t="s">
        <v>5319</v>
      </c>
      <c r="BT374" t="str">
        <f>HYPERLINK("https%3A%2F%2Fwww.webofscience.com%2Fwos%2Fwoscc%2Ffull-record%2FWOS:000181197900002","View Full Record in Web of Science")</f>
        <v>View Full Record in Web of Science</v>
      </c>
    </row>
    <row r="375" spans="1:72" x14ac:dyDescent="0.15">
      <c r="A375" t="s">
        <v>552</v>
      </c>
      <c r="B375" t="s">
        <v>5320</v>
      </c>
      <c r="C375" t="s">
        <v>74</v>
      </c>
      <c r="D375" t="s">
        <v>74</v>
      </c>
      <c r="E375" t="s">
        <v>74</v>
      </c>
      <c r="F375" t="s">
        <v>5320</v>
      </c>
      <c r="G375" t="s">
        <v>74</v>
      </c>
      <c r="H375" t="s">
        <v>74</v>
      </c>
      <c r="I375" t="s">
        <v>5321</v>
      </c>
      <c r="J375" t="s">
        <v>5162</v>
      </c>
      <c r="K375" t="s">
        <v>74</v>
      </c>
      <c r="L375" t="s">
        <v>74</v>
      </c>
      <c r="M375" t="s">
        <v>78</v>
      </c>
      <c r="N375" t="s">
        <v>775</v>
      </c>
      <c r="O375" t="s">
        <v>74</v>
      </c>
      <c r="P375" t="s">
        <v>74</v>
      </c>
      <c r="Q375" t="s">
        <v>74</v>
      </c>
      <c r="R375" t="s">
        <v>74</v>
      </c>
      <c r="S375" t="s">
        <v>74</v>
      </c>
      <c r="T375" t="s">
        <v>74</v>
      </c>
      <c r="U375" t="s">
        <v>5322</v>
      </c>
      <c r="V375" t="s">
        <v>5323</v>
      </c>
      <c r="W375" t="s">
        <v>5324</v>
      </c>
      <c r="X375" t="s">
        <v>5325</v>
      </c>
      <c r="Y375" t="s">
        <v>5326</v>
      </c>
      <c r="Z375" t="s">
        <v>5327</v>
      </c>
      <c r="AA375" t="s">
        <v>5328</v>
      </c>
      <c r="AB375" t="s">
        <v>5329</v>
      </c>
      <c r="AC375" t="s">
        <v>74</v>
      </c>
      <c r="AD375" t="s">
        <v>74</v>
      </c>
      <c r="AE375" t="s">
        <v>74</v>
      </c>
      <c r="AF375" t="s">
        <v>74</v>
      </c>
      <c r="AG375">
        <v>21</v>
      </c>
      <c r="AH375">
        <v>189</v>
      </c>
      <c r="AI375">
        <v>195</v>
      </c>
      <c r="AJ375">
        <v>1</v>
      </c>
      <c r="AK375">
        <v>5</v>
      </c>
      <c r="AL375" t="s">
        <v>387</v>
      </c>
      <c r="AM375" t="s">
        <v>388</v>
      </c>
      <c r="AN375" t="s">
        <v>389</v>
      </c>
      <c r="AO375" t="s">
        <v>5169</v>
      </c>
      <c r="AP375" t="s">
        <v>74</v>
      </c>
      <c r="AQ375" t="s">
        <v>74</v>
      </c>
      <c r="AR375" t="s">
        <v>5171</v>
      </c>
      <c r="AS375" t="s">
        <v>5172</v>
      </c>
      <c r="AT375" t="s">
        <v>5316</v>
      </c>
      <c r="AU375">
        <v>2002</v>
      </c>
      <c r="AV375">
        <v>29</v>
      </c>
      <c r="AW375">
        <v>24</v>
      </c>
      <c r="AX375" t="s">
        <v>74</v>
      </c>
      <c r="AY375" t="s">
        <v>74</v>
      </c>
      <c r="AZ375" t="s">
        <v>74</v>
      </c>
      <c r="BA375" t="s">
        <v>74</v>
      </c>
      <c r="BB375" t="s">
        <v>74</v>
      </c>
      <c r="BC375" t="s">
        <v>74</v>
      </c>
      <c r="BD375">
        <v>2174</v>
      </c>
      <c r="BE375" t="s">
        <v>5330</v>
      </c>
      <c r="BF375" t="str">
        <f>HYPERLINK("http://dx.doi.org/10.1029/2002GL016039","http://dx.doi.org/10.1029/2002GL016039")</f>
        <v>http://dx.doi.org/10.1029/2002GL016039</v>
      </c>
      <c r="BG375" t="s">
        <v>74</v>
      </c>
      <c r="BH375" t="s">
        <v>74</v>
      </c>
      <c r="BI375">
        <v>4</v>
      </c>
      <c r="BJ375" t="s">
        <v>1813</v>
      </c>
      <c r="BK375" t="s">
        <v>569</v>
      </c>
      <c r="BL375" t="s">
        <v>1814</v>
      </c>
      <c r="BM375" t="s">
        <v>5318</v>
      </c>
      <c r="BN375" t="s">
        <v>74</v>
      </c>
      <c r="BO375" t="s">
        <v>74</v>
      </c>
      <c r="BP375" t="s">
        <v>74</v>
      </c>
      <c r="BQ375" t="s">
        <v>74</v>
      </c>
      <c r="BR375" t="s">
        <v>98</v>
      </c>
      <c r="BS375" t="s">
        <v>5331</v>
      </c>
      <c r="BT375" t="str">
        <f>HYPERLINK("https%3A%2F%2Fwww.webofscience.com%2Fwos%2Fwoscc%2Ffull-record%2FWOS:000181197900004","View Full Record in Web of Science")</f>
        <v>View Full Record in Web of Science</v>
      </c>
    </row>
    <row r="376" spans="1:72" x14ac:dyDescent="0.15">
      <c r="A376" t="s">
        <v>552</v>
      </c>
      <c r="B376" t="s">
        <v>5332</v>
      </c>
      <c r="C376" t="s">
        <v>74</v>
      </c>
      <c r="D376" t="s">
        <v>74</v>
      </c>
      <c r="E376" t="s">
        <v>74</v>
      </c>
      <c r="F376" t="s">
        <v>5332</v>
      </c>
      <c r="G376" t="s">
        <v>74</v>
      </c>
      <c r="H376" t="s">
        <v>74</v>
      </c>
      <c r="I376" t="s">
        <v>5333</v>
      </c>
      <c r="J376" t="s">
        <v>5091</v>
      </c>
      <c r="K376" t="s">
        <v>74</v>
      </c>
      <c r="L376" t="s">
        <v>74</v>
      </c>
      <c r="M376" t="s">
        <v>78</v>
      </c>
      <c r="N376" t="s">
        <v>775</v>
      </c>
      <c r="O376" t="s">
        <v>74</v>
      </c>
      <c r="P376" t="s">
        <v>74</v>
      </c>
      <c r="Q376" t="s">
        <v>74</v>
      </c>
      <c r="R376" t="s">
        <v>74</v>
      </c>
      <c r="S376" t="s">
        <v>74</v>
      </c>
      <c r="T376" t="s">
        <v>5334</v>
      </c>
      <c r="U376" t="s">
        <v>5335</v>
      </c>
      <c r="V376" t="s">
        <v>5336</v>
      </c>
      <c r="W376" t="s">
        <v>5337</v>
      </c>
      <c r="X376" t="s">
        <v>5338</v>
      </c>
      <c r="Y376" t="s">
        <v>5339</v>
      </c>
      <c r="Z376" t="s">
        <v>5340</v>
      </c>
      <c r="AA376" t="s">
        <v>3768</v>
      </c>
      <c r="AB376" t="s">
        <v>74</v>
      </c>
      <c r="AC376" t="s">
        <v>74</v>
      </c>
      <c r="AD376" t="s">
        <v>74</v>
      </c>
      <c r="AE376" t="s">
        <v>74</v>
      </c>
      <c r="AF376" t="s">
        <v>74</v>
      </c>
      <c r="AG376">
        <v>23</v>
      </c>
      <c r="AH376">
        <v>62</v>
      </c>
      <c r="AI376">
        <v>66</v>
      </c>
      <c r="AJ376">
        <v>1</v>
      </c>
      <c r="AK376">
        <v>7</v>
      </c>
      <c r="AL376" t="s">
        <v>387</v>
      </c>
      <c r="AM376" t="s">
        <v>388</v>
      </c>
      <c r="AN376" t="s">
        <v>389</v>
      </c>
      <c r="AO376" t="s">
        <v>5101</v>
      </c>
      <c r="AP376" t="s">
        <v>5188</v>
      </c>
      <c r="AQ376" t="s">
        <v>74</v>
      </c>
      <c r="AR376" t="s">
        <v>5102</v>
      </c>
      <c r="AS376" t="s">
        <v>5103</v>
      </c>
      <c r="AT376" t="s">
        <v>5316</v>
      </c>
      <c r="AU376">
        <v>2002</v>
      </c>
      <c r="AV376">
        <v>107</v>
      </c>
      <c r="AW376" t="s">
        <v>5105</v>
      </c>
      <c r="AX376" t="s">
        <v>74</v>
      </c>
      <c r="AY376" t="s">
        <v>74</v>
      </c>
      <c r="AZ376" t="s">
        <v>74</v>
      </c>
      <c r="BA376" t="s">
        <v>74</v>
      </c>
      <c r="BB376" t="s">
        <v>74</v>
      </c>
      <c r="BC376" t="s">
        <v>74</v>
      </c>
      <c r="BD376">
        <v>4773</v>
      </c>
      <c r="BE376" t="s">
        <v>5341</v>
      </c>
      <c r="BF376" t="str">
        <f>HYPERLINK("http://dx.doi.org/10.1029/2002JD002390","http://dx.doi.org/10.1029/2002JD002390")</f>
        <v>http://dx.doi.org/10.1029/2002JD002390</v>
      </c>
      <c r="BG376" t="s">
        <v>74</v>
      </c>
      <c r="BH376" t="s">
        <v>74</v>
      </c>
      <c r="BI376">
        <v>7</v>
      </c>
      <c r="BJ376" t="s">
        <v>1237</v>
      </c>
      <c r="BK376" t="s">
        <v>569</v>
      </c>
      <c r="BL376" t="s">
        <v>1237</v>
      </c>
      <c r="BM376" t="s">
        <v>5342</v>
      </c>
      <c r="BN376" t="s">
        <v>74</v>
      </c>
      <c r="BO376" t="s">
        <v>572</v>
      </c>
      <c r="BP376" t="s">
        <v>74</v>
      </c>
      <c r="BQ376" t="s">
        <v>74</v>
      </c>
      <c r="BR376" t="s">
        <v>98</v>
      </c>
      <c r="BS376" t="s">
        <v>5343</v>
      </c>
      <c r="BT376" t="str">
        <f>HYPERLINK("https%3A%2F%2Fwww.webofscience.com%2Fwos%2Fwoscc%2Ffull-record%2FWOS:000181254300006","View Full Record in Web of Science")</f>
        <v>View Full Record in Web of Science</v>
      </c>
    </row>
    <row r="377" spans="1:72" x14ac:dyDescent="0.15">
      <c r="A377" t="s">
        <v>552</v>
      </c>
      <c r="B377" t="s">
        <v>5344</v>
      </c>
      <c r="C377" t="s">
        <v>74</v>
      </c>
      <c r="D377" t="s">
        <v>74</v>
      </c>
      <c r="E377" t="s">
        <v>74</v>
      </c>
      <c r="F377" t="s">
        <v>5344</v>
      </c>
      <c r="G377" t="s">
        <v>74</v>
      </c>
      <c r="H377" t="s">
        <v>74</v>
      </c>
      <c r="I377" t="s">
        <v>5345</v>
      </c>
      <c r="J377" t="s">
        <v>5091</v>
      </c>
      <c r="K377" t="s">
        <v>74</v>
      </c>
      <c r="L377" t="s">
        <v>74</v>
      </c>
      <c r="M377" t="s">
        <v>78</v>
      </c>
      <c r="N377" t="s">
        <v>775</v>
      </c>
      <c r="O377" t="s">
        <v>74</v>
      </c>
      <c r="P377" t="s">
        <v>74</v>
      </c>
      <c r="Q377" t="s">
        <v>74</v>
      </c>
      <c r="R377" t="s">
        <v>74</v>
      </c>
      <c r="S377" t="s">
        <v>74</v>
      </c>
      <c r="T377" t="s">
        <v>5346</v>
      </c>
      <c r="U377" t="s">
        <v>5347</v>
      </c>
      <c r="V377" t="s">
        <v>5348</v>
      </c>
      <c r="W377" t="s">
        <v>5349</v>
      </c>
      <c r="X377" t="s">
        <v>5350</v>
      </c>
      <c r="Y377" t="s">
        <v>5351</v>
      </c>
      <c r="Z377" t="s">
        <v>5352</v>
      </c>
      <c r="AA377" t="s">
        <v>5353</v>
      </c>
      <c r="AB377" t="s">
        <v>5354</v>
      </c>
      <c r="AC377" t="s">
        <v>74</v>
      </c>
      <c r="AD377" t="s">
        <v>74</v>
      </c>
      <c r="AE377" t="s">
        <v>74</v>
      </c>
      <c r="AF377" t="s">
        <v>74</v>
      </c>
      <c r="AG377">
        <v>39</v>
      </c>
      <c r="AH377">
        <v>55</v>
      </c>
      <c r="AI377">
        <v>60</v>
      </c>
      <c r="AJ377">
        <v>0</v>
      </c>
      <c r="AK377">
        <v>10</v>
      </c>
      <c r="AL377" t="s">
        <v>387</v>
      </c>
      <c r="AM377" t="s">
        <v>388</v>
      </c>
      <c r="AN377" t="s">
        <v>389</v>
      </c>
      <c r="AO377" t="s">
        <v>5101</v>
      </c>
      <c r="AP377" t="s">
        <v>74</v>
      </c>
      <c r="AQ377" t="s">
        <v>74</v>
      </c>
      <c r="AR377" t="s">
        <v>5102</v>
      </c>
      <c r="AS377" t="s">
        <v>5103</v>
      </c>
      <c r="AT377" t="s">
        <v>5355</v>
      </c>
      <c r="AU377">
        <v>2002</v>
      </c>
      <c r="AV377">
        <v>107</v>
      </c>
      <c r="AW377" t="s">
        <v>5105</v>
      </c>
      <c r="AX377" t="s">
        <v>74</v>
      </c>
      <c r="AY377" t="s">
        <v>74</v>
      </c>
      <c r="AZ377" t="s">
        <v>74</v>
      </c>
      <c r="BA377" t="s">
        <v>74</v>
      </c>
      <c r="BB377" t="s">
        <v>74</v>
      </c>
      <c r="BC377" t="s">
        <v>74</v>
      </c>
      <c r="BD377">
        <v>4765</v>
      </c>
      <c r="BE377" t="s">
        <v>5356</v>
      </c>
      <c r="BF377" t="str">
        <f>HYPERLINK("http://dx.doi.org/10.1029/2002JD002548","http://dx.doi.org/10.1029/2002JD002548")</f>
        <v>http://dx.doi.org/10.1029/2002JD002548</v>
      </c>
      <c r="BG377" t="s">
        <v>74</v>
      </c>
      <c r="BH377" t="s">
        <v>74</v>
      </c>
      <c r="BI377">
        <v>14</v>
      </c>
      <c r="BJ377" t="s">
        <v>1237</v>
      </c>
      <c r="BK377" t="s">
        <v>569</v>
      </c>
      <c r="BL377" t="s">
        <v>1237</v>
      </c>
      <c r="BM377" t="s">
        <v>5357</v>
      </c>
      <c r="BN377" t="s">
        <v>74</v>
      </c>
      <c r="BO377" t="s">
        <v>572</v>
      </c>
      <c r="BP377" t="s">
        <v>74</v>
      </c>
      <c r="BQ377" t="s">
        <v>74</v>
      </c>
      <c r="BR377" t="s">
        <v>98</v>
      </c>
      <c r="BS377" t="s">
        <v>5358</v>
      </c>
      <c r="BT377" t="str">
        <f>HYPERLINK("https%3A%2F%2Fwww.webofscience.com%2Fwos%2Fwoscc%2Ffull-record%2FWOS:000181253900006","View Full Record in Web of Science")</f>
        <v>View Full Record in Web of Science</v>
      </c>
    </row>
    <row r="378" spans="1:72" x14ac:dyDescent="0.15">
      <c r="A378" t="s">
        <v>552</v>
      </c>
      <c r="B378" t="s">
        <v>5359</v>
      </c>
      <c r="C378" t="s">
        <v>74</v>
      </c>
      <c r="D378" t="s">
        <v>74</v>
      </c>
      <c r="E378" t="s">
        <v>74</v>
      </c>
      <c r="F378" t="s">
        <v>5359</v>
      </c>
      <c r="G378" t="s">
        <v>74</v>
      </c>
      <c r="H378" t="s">
        <v>74</v>
      </c>
      <c r="I378" t="s">
        <v>5360</v>
      </c>
      <c r="J378" t="s">
        <v>5361</v>
      </c>
      <c r="K378" t="s">
        <v>74</v>
      </c>
      <c r="L378" t="s">
        <v>74</v>
      </c>
      <c r="M378" t="s">
        <v>78</v>
      </c>
      <c r="N378" t="s">
        <v>775</v>
      </c>
      <c r="O378" t="s">
        <v>74</v>
      </c>
      <c r="P378" t="s">
        <v>74</v>
      </c>
      <c r="Q378" t="s">
        <v>74</v>
      </c>
      <c r="R378" t="s">
        <v>74</v>
      </c>
      <c r="S378" t="s">
        <v>74</v>
      </c>
      <c r="T378" t="s">
        <v>5362</v>
      </c>
      <c r="U378" t="s">
        <v>5363</v>
      </c>
      <c r="V378" t="s">
        <v>5364</v>
      </c>
      <c r="W378" t="s">
        <v>5365</v>
      </c>
      <c r="X378" t="s">
        <v>5366</v>
      </c>
      <c r="Y378" t="s">
        <v>5367</v>
      </c>
      <c r="Z378" t="s">
        <v>5368</v>
      </c>
      <c r="AA378" t="s">
        <v>74</v>
      </c>
      <c r="AB378" t="s">
        <v>74</v>
      </c>
      <c r="AC378" t="s">
        <v>74</v>
      </c>
      <c r="AD378" t="s">
        <v>74</v>
      </c>
      <c r="AE378" t="s">
        <v>74</v>
      </c>
      <c r="AF378" t="s">
        <v>74</v>
      </c>
      <c r="AG378">
        <v>43</v>
      </c>
      <c r="AH378">
        <v>13</v>
      </c>
      <c r="AI378">
        <v>14</v>
      </c>
      <c r="AJ378">
        <v>2</v>
      </c>
      <c r="AK378">
        <v>4</v>
      </c>
      <c r="AL378" t="s">
        <v>2060</v>
      </c>
      <c r="AM378" t="s">
        <v>2061</v>
      </c>
      <c r="AN378" t="s">
        <v>2062</v>
      </c>
      <c r="AO378" t="s">
        <v>5369</v>
      </c>
      <c r="AP378" t="s">
        <v>5370</v>
      </c>
      <c r="AQ378" t="s">
        <v>74</v>
      </c>
      <c r="AR378" t="s">
        <v>5371</v>
      </c>
      <c r="AS378" t="s">
        <v>5372</v>
      </c>
      <c r="AT378" t="s">
        <v>5355</v>
      </c>
      <c r="AU378">
        <v>2002</v>
      </c>
      <c r="AV378">
        <v>36</v>
      </c>
      <c r="AW378">
        <v>18</v>
      </c>
      <c r="AX378" t="s">
        <v>74</v>
      </c>
      <c r="AY378" t="s">
        <v>74</v>
      </c>
      <c r="AZ378" t="s">
        <v>74</v>
      </c>
      <c r="BA378" t="s">
        <v>74</v>
      </c>
      <c r="BB378">
        <v>2229</v>
      </c>
      <c r="BC378">
        <v>2248</v>
      </c>
      <c r="BD378" t="s">
        <v>74</v>
      </c>
      <c r="BE378" t="s">
        <v>5373</v>
      </c>
      <c r="BF378" t="str">
        <f>HYPERLINK("http://dx.doi.org/10.1080/00222930110096500","http://dx.doi.org/10.1080/00222930110096500")</f>
        <v>http://dx.doi.org/10.1080/00222930110096500</v>
      </c>
      <c r="BG378" t="s">
        <v>74</v>
      </c>
      <c r="BH378" t="s">
        <v>74</v>
      </c>
      <c r="BI378">
        <v>20</v>
      </c>
      <c r="BJ378" t="s">
        <v>5374</v>
      </c>
      <c r="BK378" t="s">
        <v>569</v>
      </c>
      <c r="BL378" t="s">
        <v>5375</v>
      </c>
      <c r="BM378" t="s">
        <v>5376</v>
      </c>
      <c r="BN378" t="s">
        <v>74</v>
      </c>
      <c r="BO378" t="s">
        <v>74</v>
      </c>
      <c r="BP378" t="s">
        <v>74</v>
      </c>
      <c r="BQ378" t="s">
        <v>74</v>
      </c>
      <c r="BR378" t="s">
        <v>98</v>
      </c>
      <c r="BS378" t="s">
        <v>5377</v>
      </c>
      <c r="BT378" t="str">
        <f>HYPERLINK("https%3A%2F%2Fwww.webofscience.com%2Fwos%2Fwoscc%2Ffull-record%2FWOS:000179401100005","View Full Record in Web of Science")</f>
        <v>View Full Record in Web of Science</v>
      </c>
    </row>
    <row r="379" spans="1:72" x14ac:dyDescent="0.15">
      <c r="A379" t="s">
        <v>552</v>
      </c>
      <c r="B379" t="s">
        <v>5378</v>
      </c>
      <c r="C379" t="s">
        <v>74</v>
      </c>
      <c r="D379" t="s">
        <v>74</v>
      </c>
      <c r="E379" t="s">
        <v>74</v>
      </c>
      <c r="F379" t="s">
        <v>5378</v>
      </c>
      <c r="G379" t="s">
        <v>74</v>
      </c>
      <c r="H379" t="s">
        <v>74</v>
      </c>
      <c r="I379" t="s">
        <v>5379</v>
      </c>
      <c r="J379" t="s">
        <v>5162</v>
      </c>
      <c r="K379" t="s">
        <v>74</v>
      </c>
      <c r="L379" t="s">
        <v>74</v>
      </c>
      <c r="M379" t="s">
        <v>78</v>
      </c>
      <c r="N379" t="s">
        <v>775</v>
      </c>
      <c r="O379" t="s">
        <v>74</v>
      </c>
      <c r="P379" t="s">
        <v>74</v>
      </c>
      <c r="Q379" t="s">
        <v>74</v>
      </c>
      <c r="R379" t="s">
        <v>74</v>
      </c>
      <c r="S379" t="s">
        <v>74</v>
      </c>
      <c r="T379" t="s">
        <v>74</v>
      </c>
      <c r="U379" t="s">
        <v>5380</v>
      </c>
      <c r="V379" t="s">
        <v>5381</v>
      </c>
      <c r="W379" t="s">
        <v>5382</v>
      </c>
      <c r="X379" t="s">
        <v>239</v>
      </c>
      <c r="Y379" t="s">
        <v>5383</v>
      </c>
      <c r="Z379" t="s">
        <v>74</v>
      </c>
      <c r="AA379" t="s">
        <v>74</v>
      </c>
      <c r="AB379" t="s">
        <v>5384</v>
      </c>
      <c r="AC379" t="s">
        <v>74</v>
      </c>
      <c r="AD379" t="s">
        <v>74</v>
      </c>
      <c r="AE379" t="s">
        <v>74</v>
      </c>
      <c r="AF379" t="s">
        <v>74</v>
      </c>
      <c r="AG379">
        <v>9</v>
      </c>
      <c r="AH379">
        <v>43</v>
      </c>
      <c r="AI379">
        <v>50</v>
      </c>
      <c r="AJ379">
        <v>0</v>
      </c>
      <c r="AK379">
        <v>8</v>
      </c>
      <c r="AL379" t="s">
        <v>387</v>
      </c>
      <c r="AM379" t="s">
        <v>388</v>
      </c>
      <c r="AN379" t="s">
        <v>389</v>
      </c>
      <c r="AO379" t="s">
        <v>5169</v>
      </c>
      <c r="AP379" t="s">
        <v>74</v>
      </c>
      <c r="AQ379" t="s">
        <v>74</v>
      </c>
      <c r="AR379" t="s">
        <v>5171</v>
      </c>
      <c r="AS379" t="s">
        <v>5172</v>
      </c>
      <c r="AT379" t="s">
        <v>5385</v>
      </c>
      <c r="AU379">
        <v>2002</v>
      </c>
      <c r="AV379">
        <v>29</v>
      </c>
      <c r="AW379">
        <v>24</v>
      </c>
      <c r="AX379" t="s">
        <v>74</v>
      </c>
      <c r="AY379" t="s">
        <v>74</v>
      </c>
      <c r="AZ379" t="s">
        <v>74</v>
      </c>
      <c r="BA379" t="s">
        <v>74</v>
      </c>
      <c r="BB379" t="s">
        <v>74</v>
      </c>
      <c r="BC379" t="s">
        <v>74</v>
      </c>
      <c r="BD379">
        <v>2160</v>
      </c>
      <c r="BE379" t="s">
        <v>5386</v>
      </c>
      <c r="BF379" t="str">
        <f>HYPERLINK("http://dx.doi.org/10.1029/2002GL015565","http://dx.doi.org/10.1029/2002GL015565")</f>
        <v>http://dx.doi.org/10.1029/2002GL015565</v>
      </c>
      <c r="BG379" t="s">
        <v>74</v>
      </c>
      <c r="BH379" t="s">
        <v>74</v>
      </c>
      <c r="BI379">
        <v>4</v>
      </c>
      <c r="BJ379" t="s">
        <v>1813</v>
      </c>
      <c r="BK379" t="s">
        <v>569</v>
      </c>
      <c r="BL379" t="s">
        <v>1814</v>
      </c>
      <c r="BM379" t="s">
        <v>5387</v>
      </c>
      <c r="BN379" t="s">
        <v>74</v>
      </c>
      <c r="BO379" t="s">
        <v>572</v>
      </c>
      <c r="BP379" t="s">
        <v>74</v>
      </c>
      <c r="BQ379" t="s">
        <v>74</v>
      </c>
      <c r="BR379" t="s">
        <v>98</v>
      </c>
      <c r="BS379" t="s">
        <v>5388</v>
      </c>
      <c r="BT379" t="str">
        <f>HYPERLINK("https%3A%2F%2Fwww.webofscience.com%2Fwos%2Fwoscc%2Ffull-record%2FWOS:000181197200002","View Full Record in Web of Science")</f>
        <v>View Full Record in Web of Science</v>
      </c>
    </row>
    <row r="380" spans="1:72" x14ac:dyDescent="0.15">
      <c r="A380" t="s">
        <v>552</v>
      </c>
      <c r="B380" t="s">
        <v>5389</v>
      </c>
      <c r="C380" t="s">
        <v>74</v>
      </c>
      <c r="D380" t="s">
        <v>74</v>
      </c>
      <c r="E380" t="s">
        <v>74</v>
      </c>
      <c r="F380" t="s">
        <v>5389</v>
      </c>
      <c r="G380" t="s">
        <v>74</v>
      </c>
      <c r="H380" t="s">
        <v>74</v>
      </c>
      <c r="I380" t="s">
        <v>5390</v>
      </c>
      <c r="J380" t="s">
        <v>5091</v>
      </c>
      <c r="K380" t="s">
        <v>74</v>
      </c>
      <c r="L380" t="s">
        <v>74</v>
      </c>
      <c r="M380" t="s">
        <v>78</v>
      </c>
      <c r="N380" t="s">
        <v>775</v>
      </c>
      <c r="O380" t="s">
        <v>74</v>
      </c>
      <c r="P380" t="s">
        <v>74</v>
      </c>
      <c r="Q380" t="s">
        <v>74</v>
      </c>
      <c r="R380" t="s">
        <v>74</v>
      </c>
      <c r="S380" t="s">
        <v>74</v>
      </c>
      <c r="T380" t="s">
        <v>5391</v>
      </c>
      <c r="U380" t="s">
        <v>5392</v>
      </c>
      <c r="V380" t="s">
        <v>5393</v>
      </c>
      <c r="W380" t="s">
        <v>5394</v>
      </c>
      <c r="X380" t="s">
        <v>417</v>
      </c>
      <c r="Y380" t="s">
        <v>5395</v>
      </c>
      <c r="Z380" t="s">
        <v>5396</v>
      </c>
      <c r="AA380" t="s">
        <v>5397</v>
      </c>
      <c r="AB380" t="s">
        <v>5398</v>
      </c>
      <c r="AC380" t="s">
        <v>74</v>
      </c>
      <c r="AD380" t="s">
        <v>74</v>
      </c>
      <c r="AE380" t="s">
        <v>74</v>
      </c>
      <c r="AF380" t="s">
        <v>74</v>
      </c>
      <c r="AG380">
        <v>34</v>
      </c>
      <c r="AH380">
        <v>54</v>
      </c>
      <c r="AI380">
        <v>57</v>
      </c>
      <c r="AJ380">
        <v>1</v>
      </c>
      <c r="AK380">
        <v>4</v>
      </c>
      <c r="AL380" t="s">
        <v>387</v>
      </c>
      <c r="AM380" t="s">
        <v>388</v>
      </c>
      <c r="AN380" t="s">
        <v>389</v>
      </c>
      <c r="AO380" t="s">
        <v>5101</v>
      </c>
      <c r="AP380" t="s">
        <v>74</v>
      </c>
      <c r="AQ380" t="s">
        <v>74</v>
      </c>
      <c r="AR380" t="s">
        <v>5102</v>
      </c>
      <c r="AS380" t="s">
        <v>5103</v>
      </c>
      <c r="AT380" t="s">
        <v>5385</v>
      </c>
      <c r="AU380">
        <v>2002</v>
      </c>
      <c r="AV380">
        <v>107</v>
      </c>
      <c r="AW380" t="s">
        <v>5105</v>
      </c>
      <c r="AX380" t="s">
        <v>74</v>
      </c>
      <c r="AY380" t="s">
        <v>74</v>
      </c>
      <c r="AZ380" t="s">
        <v>74</v>
      </c>
      <c r="BA380" t="s">
        <v>74</v>
      </c>
      <c r="BB380" t="s">
        <v>74</v>
      </c>
      <c r="BC380" t="s">
        <v>74</v>
      </c>
      <c r="BD380">
        <v>4759</v>
      </c>
      <c r="BE380" t="s">
        <v>5399</v>
      </c>
      <c r="BF380" t="str">
        <f>HYPERLINK("http://dx.doi.org/10.1029/2000JD000110","http://dx.doi.org/10.1029/2000JD000110")</f>
        <v>http://dx.doi.org/10.1029/2000JD000110</v>
      </c>
      <c r="BG380" t="s">
        <v>74</v>
      </c>
      <c r="BH380" t="s">
        <v>74</v>
      </c>
      <c r="BI380">
        <v>12</v>
      </c>
      <c r="BJ380" t="s">
        <v>1237</v>
      </c>
      <c r="BK380" t="s">
        <v>569</v>
      </c>
      <c r="BL380" t="s">
        <v>1237</v>
      </c>
      <c r="BM380" t="s">
        <v>5400</v>
      </c>
      <c r="BN380" t="s">
        <v>74</v>
      </c>
      <c r="BO380" t="s">
        <v>3298</v>
      </c>
      <c r="BP380" t="s">
        <v>74</v>
      </c>
      <c r="BQ380" t="s">
        <v>74</v>
      </c>
      <c r="BR380" t="s">
        <v>98</v>
      </c>
      <c r="BS380" t="s">
        <v>5401</v>
      </c>
      <c r="BT380" t="str">
        <f>HYPERLINK("https%3A%2F%2Fwww.webofscience.com%2Fwos%2Fwoscc%2Ffull-record%2FWOS:000181253700001","View Full Record in Web of Science")</f>
        <v>View Full Record in Web of Science</v>
      </c>
    </row>
    <row r="381" spans="1:72" x14ac:dyDescent="0.15">
      <c r="A381" t="s">
        <v>552</v>
      </c>
      <c r="B381" t="s">
        <v>5402</v>
      </c>
      <c r="C381" t="s">
        <v>74</v>
      </c>
      <c r="D381" t="s">
        <v>74</v>
      </c>
      <c r="E381" t="s">
        <v>74</v>
      </c>
      <c r="F381" t="s">
        <v>5402</v>
      </c>
      <c r="G381" t="s">
        <v>74</v>
      </c>
      <c r="H381" t="s">
        <v>74</v>
      </c>
      <c r="I381" t="s">
        <v>5403</v>
      </c>
      <c r="J381" t="s">
        <v>5111</v>
      </c>
      <c r="K381" t="s">
        <v>74</v>
      </c>
      <c r="L381" t="s">
        <v>74</v>
      </c>
      <c r="M381" t="s">
        <v>78</v>
      </c>
      <c r="N381" t="s">
        <v>775</v>
      </c>
      <c r="O381" t="s">
        <v>74</v>
      </c>
      <c r="P381" t="s">
        <v>74</v>
      </c>
      <c r="Q381" t="s">
        <v>74</v>
      </c>
      <c r="R381" t="s">
        <v>74</v>
      </c>
      <c r="S381" t="s">
        <v>74</v>
      </c>
      <c r="T381" t="s">
        <v>5404</v>
      </c>
      <c r="U381" t="s">
        <v>5405</v>
      </c>
      <c r="V381" t="s">
        <v>5406</v>
      </c>
      <c r="W381" t="s">
        <v>5407</v>
      </c>
      <c r="X381" t="s">
        <v>2205</v>
      </c>
      <c r="Y381" t="s">
        <v>5408</v>
      </c>
      <c r="Z381" t="s">
        <v>5409</v>
      </c>
      <c r="AA381" t="s">
        <v>74</v>
      </c>
      <c r="AB381" t="s">
        <v>74</v>
      </c>
      <c r="AC381" t="s">
        <v>74</v>
      </c>
      <c r="AD381" t="s">
        <v>74</v>
      </c>
      <c r="AE381" t="s">
        <v>74</v>
      </c>
      <c r="AF381" t="s">
        <v>74</v>
      </c>
      <c r="AG381">
        <v>36</v>
      </c>
      <c r="AH381">
        <v>22</v>
      </c>
      <c r="AI381">
        <v>26</v>
      </c>
      <c r="AJ381">
        <v>1</v>
      </c>
      <c r="AK381">
        <v>15</v>
      </c>
      <c r="AL381" t="s">
        <v>387</v>
      </c>
      <c r="AM381" t="s">
        <v>388</v>
      </c>
      <c r="AN381" t="s">
        <v>389</v>
      </c>
      <c r="AO381" t="s">
        <v>5120</v>
      </c>
      <c r="AP381" t="s">
        <v>5121</v>
      </c>
      <c r="AQ381" t="s">
        <v>74</v>
      </c>
      <c r="AR381" t="s">
        <v>5122</v>
      </c>
      <c r="AS381" t="s">
        <v>5123</v>
      </c>
      <c r="AT381" t="s">
        <v>5385</v>
      </c>
      <c r="AU381">
        <v>2002</v>
      </c>
      <c r="AV381">
        <v>107</v>
      </c>
      <c r="AW381" t="s">
        <v>5124</v>
      </c>
      <c r="AX381" t="s">
        <v>74</v>
      </c>
      <c r="AY381" t="s">
        <v>74</v>
      </c>
      <c r="AZ381" t="s">
        <v>74</v>
      </c>
      <c r="BA381" t="s">
        <v>74</v>
      </c>
      <c r="BB381" t="s">
        <v>74</v>
      </c>
      <c r="BC381" t="s">
        <v>74</v>
      </c>
      <c r="BD381">
        <v>3129</v>
      </c>
      <c r="BE381" t="s">
        <v>5410</v>
      </c>
      <c r="BF381" t="str">
        <f>HYPERLINK("http://dx.doi.org/10.1029/2001JC001065","http://dx.doi.org/10.1029/2001JC001065")</f>
        <v>http://dx.doi.org/10.1029/2001JC001065</v>
      </c>
      <c r="BG381" t="s">
        <v>74</v>
      </c>
      <c r="BH381" t="s">
        <v>74</v>
      </c>
      <c r="BI381">
        <v>14</v>
      </c>
      <c r="BJ381" t="s">
        <v>1394</v>
      </c>
      <c r="BK381" t="s">
        <v>569</v>
      </c>
      <c r="BL381" t="s">
        <v>1394</v>
      </c>
      <c r="BM381" t="s">
        <v>5411</v>
      </c>
      <c r="BN381" t="s">
        <v>74</v>
      </c>
      <c r="BO381" t="s">
        <v>74</v>
      </c>
      <c r="BP381" t="s">
        <v>74</v>
      </c>
      <c r="BQ381" t="s">
        <v>74</v>
      </c>
      <c r="BR381" t="s">
        <v>98</v>
      </c>
      <c r="BS381" t="s">
        <v>5412</v>
      </c>
      <c r="BT381" t="str">
        <f>HYPERLINK("https%3A%2F%2Fwww.webofscience.com%2Fwos%2Fwoscc%2Ffull-record%2FWOS:000181231700001","View Full Record in Web of Science")</f>
        <v>View Full Record in Web of Science</v>
      </c>
    </row>
    <row r="382" spans="1:72" x14ac:dyDescent="0.15">
      <c r="A382" t="s">
        <v>552</v>
      </c>
      <c r="B382" t="s">
        <v>5413</v>
      </c>
      <c r="C382" t="s">
        <v>74</v>
      </c>
      <c r="D382" t="s">
        <v>74</v>
      </c>
      <c r="E382" t="s">
        <v>74</v>
      </c>
      <c r="F382" t="s">
        <v>5413</v>
      </c>
      <c r="G382" t="s">
        <v>74</v>
      </c>
      <c r="H382" t="s">
        <v>74</v>
      </c>
      <c r="I382" t="s">
        <v>5414</v>
      </c>
      <c r="J382" t="s">
        <v>5091</v>
      </c>
      <c r="K382" t="s">
        <v>74</v>
      </c>
      <c r="L382" t="s">
        <v>74</v>
      </c>
      <c r="M382" t="s">
        <v>78</v>
      </c>
      <c r="N382" t="s">
        <v>775</v>
      </c>
      <c r="O382" t="s">
        <v>74</v>
      </c>
      <c r="P382" t="s">
        <v>74</v>
      </c>
      <c r="Q382" t="s">
        <v>74</v>
      </c>
      <c r="R382" t="s">
        <v>74</v>
      </c>
      <c r="S382" t="s">
        <v>74</v>
      </c>
      <c r="T382" t="s">
        <v>5415</v>
      </c>
      <c r="U382" t="s">
        <v>5416</v>
      </c>
      <c r="V382" t="s">
        <v>5417</v>
      </c>
      <c r="W382" t="s">
        <v>5418</v>
      </c>
      <c r="X382" t="s">
        <v>1945</v>
      </c>
      <c r="Y382" t="s">
        <v>5419</v>
      </c>
      <c r="Z382" t="s">
        <v>5420</v>
      </c>
      <c r="AA382" t="s">
        <v>74</v>
      </c>
      <c r="AB382" t="s">
        <v>5421</v>
      </c>
      <c r="AC382" t="s">
        <v>74</v>
      </c>
      <c r="AD382" t="s">
        <v>74</v>
      </c>
      <c r="AE382" t="s">
        <v>74</v>
      </c>
      <c r="AF382" t="s">
        <v>74</v>
      </c>
      <c r="AG382">
        <v>49</v>
      </c>
      <c r="AH382">
        <v>80</v>
      </c>
      <c r="AI382">
        <v>83</v>
      </c>
      <c r="AJ382">
        <v>3</v>
      </c>
      <c r="AK382">
        <v>18</v>
      </c>
      <c r="AL382" t="s">
        <v>387</v>
      </c>
      <c r="AM382" t="s">
        <v>388</v>
      </c>
      <c r="AN382" t="s">
        <v>389</v>
      </c>
      <c r="AO382" t="s">
        <v>5101</v>
      </c>
      <c r="AP382" t="s">
        <v>5188</v>
      </c>
      <c r="AQ382" t="s">
        <v>74</v>
      </c>
      <c r="AR382" t="s">
        <v>5102</v>
      </c>
      <c r="AS382" t="s">
        <v>5103</v>
      </c>
      <c r="AT382" t="s">
        <v>5422</v>
      </c>
      <c r="AU382">
        <v>2002</v>
      </c>
      <c r="AV382">
        <v>107</v>
      </c>
      <c r="AW382" t="s">
        <v>5105</v>
      </c>
      <c r="AX382" t="s">
        <v>74</v>
      </c>
      <c r="AY382" t="s">
        <v>74</v>
      </c>
      <c r="AZ382" t="s">
        <v>74</v>
      </c>
      <c r="BA382" t="s">
        <v>74</v>
      </c>
      <c r="BB382" t="s">
        <v>74</v>
      </c>
      <c r="BC382" t="s">
        <v>74</v>
      </c>
      <c r="BD382">
        <v>4742</v>
      </c>
      <c r="BE382" t="s">
        <v>5423</v>
      </c>
      <c r="BF382" t="str">
        <f>HYPERLINK("http://dx.doi.org/10.1029/2002JD002262","http://dx.doi.org/10.1029/2002JD002262")</f>
        <v>http://dx.doi.org/10.1029/2002JD002262</v>
      </c>
      <c r="BG382" t="s">
        <v>74</v>
      </c>
      <c r="BH382" t="s">
        <v>74</v>
      </c>
      <c r="BI382">
        <v>11</v>
      </c>
      <c r="BJ382" t="s">
        <v>1237</v>
      </c>
      <c r="BK382" t="s">
        <v>569</v>
      </c>
      <c r="BL382" t="s">
        <v>1237</v>
      </c>
      <c r="BM382" t="s">
        <v>5424</v>
      </c>
      <c r="BN382" t="s">
        <v>74</v>
      </c>
      <c r="BO382" t="s">
        <v>74</v>
      </c>
      <c r="BP382" t="s">
        <v>74</v>
      </c>
      <c r="BQ382" t="s">
        <v>74</v>
      </c>
      <c r="BR382" t="s">
        <v>98</v>
      </c>
      <c r="BS382" t="s">
        <v>5425</v>
      </c>
      <c r="BT382" t="str">
        <f>HYPERLINK("https%3A%2F%2Fwww.webofscience.com%2Fwos%2Fwoscc%2Ffull-record%2FWOS:000181253200005","View Full Record in Web of Science")</f>
        <v>View Full Record in Web of Science</v>
      </c>
    </row>
    <row r="383" spans="1:72" x14ac:dyDescent="0.15">
      <c r="A383" t="s">
        <v>552</v>
      </c>
      <c r="B383" t="s">
        <v>5426</v>
      </c>
      <c r="C383" t="s">
        <v>74</v>
      </c>
      <c r="D383" t="s">
        <v>74</v>
      </c>
      <c r="E383" t="s">
        <v>74</v>
      </c>
      <c r="F383" t="s">
        <v>5426</v>
      </c>
      <c r="G383" t="s">
        <v>74</v>
      </c>
      <c r="H383" t="s">
        <v>74</v>
      </c>
      <c r="I383" t="s">
        <v>5427</v>
      </c>
      <c r="J383" t="s">
        <v>5428</v>
      </c>
      <c r="K383" t="s">
        <v>74</v>
      </c>
      <c r="L383" t="s">
        <v>74</v>
      </c>
      <c r="M383" t="s">
        <v>78</v>
      </c>
      <c r="N383" t="s">
        <v>775</v>
      </c>
      <c r="O383" t="s">
        <v>74</v>
      </c>
      <c r="P383" t="s">
        <v>74</v>
      </c>
      <c r="Q383" t="s">
        <v>74</v>
      </c>
      <c r="R383" t="s">
        <v>74</v>
      </c>
      <c r="S383" t="s">
        <v>74</v>
      </c>
      <c r="T383" t="s">
        <v>5429</v>
      </c>
      <c r="U383" t="s">
        <v>5430</v>
      </c>
      <c r="V383" t="s">
        <v>5431</v>
      </c>
      <c r="W383" t="s">
        <v>5432</v>
      </c>
      <c r="X383" t="s">
        <v>5433</v>
      </c>
      <c r="Y383" t="s">
        <v>5434</v>
      </c>
      <c r="Z383" t="s">
        <v>74</v>
      </c>
      <c r="AA383" t="s">
        <v>5435</v>
      </c>
      <c r="AB383" t="s">
        <v>5436</v>
      </c>
      <c r="AC383" t="s">
        <v>74</v>
      </c>
      <c r="AD383" t="s">
        <v>74</v>
      </c>
      <c r="AE383" t="s">
        <v>74</v>
      </c>
      <c r="AF383" t="s">
        <v>74</v>
      </c>
      <c r="AG383">
        <v>76</v>
      </c>
      <c r="AH383">
        <v>136</v>
      </c>
      <c r="AI383">
        <v>145</v>
      </c>
      <c r="AJ383">
        <v>6</v>
      </c>
      <c r="AK383">
        <v>38</v>
      </c>
      <c r="AL383" t="s">
        <v>387</v>
      </c>
      <c r="AM383" t="s">
        <v>388</v>
      </c>
      <c r="AN383" t="s">
        <v>389</v>
      </c>
      <c r="AO383" t="s">
        <v>5437</v>
      </c>
      <c r="AP383" t="s">
        <v>74</v>
      </c>
      <c r="AQ383" t="s">
        <v>74</v>
      </c>
      <c r="AR383" t="s">
        <v>5438</v>
      </c>
      <c r="AS383" t="s">
        <v>5439</v>
      </c>
      <c r="AT383" t="s">
        <v>5440</v>
      </c>
      <c r="AU383">
        <v>2002</v>
      </c>
      <c r="AV383">
        <v>3</v>
      </c>
      <c r="AW383" t="s">
        <v>74</v>
      </c>
      <c r="AX383" t="s">
        <v>74</v>
      </c>
      <c r="AY383" t="s">
        <v>74</v>
      </c>
      <c r="AZ383" t="s">
        <v>74</v>
      </c>
      <c r="BA383" t="s">
        <v>74</v>
      </c>
      <c r="BB383" t="s">
        <v>74</v>
      </c>
      <c r="BC383" t="s">
        <v>74</v>
      </c>
      <c r="BD383">
        <v>1074</v>
      </c>
      <c r="BE383" t="s">
        <v>5441</v>
      </c>
      <c r="BF383" t="str">
        <f>HYPERLINK("http://dx.doi.org/10.1029/2002GC000320","http://dx.doi.org/10.1029/2002GC000320")</f>
        <v>http://dx.doi.org/10.1029/2002GC000320</v>
      </c>
      <c r="BG383" t="s">
        <v>74</v>
      </c>
      <c r="BH383" t="s">
        <v>74</v>
      </c>
      <c r="BI383">
        <v>35</v>
      </c>
      <c r="BJ383" t="s">
        <v>2068</v>
      </c>
      <c r="BK383" t="s">
        <v>569</v>
      </c>
      <c r="BL383" t="s">
        <v>2068</v>
      </c>
      <c r="BM383" t="s">
        <v>5442</v>
      </c>
      <c r="BN383" t="s">
        <v>74</v>
      </c>
      <c r="BO383" t="s">
        <v>5443</v>
      </c>
      <c r="BP383" t="s">
        <v>74</v>
      </c>
      <c r="BQ383" t="s">
        <v>74</v>
      </c>
      <c r="BR383" t="s">
        <v>98</v>
      </c>
      <c r="BS383" t="s">
        <v>5444</v>
      </c>
      <c r="BT383" t="str">
        <f>HYPERLINK("https%3A%2F%2Fwww.webofscience.com%2Fwos%2Fwoscc%2Ffull-record%2FWOS:000179897000001","View Full Record in Web of Science")</f>
        <v>View Full Record in Web of Science</v>
      </c>
    </row>
    <row r="384" spans="1:72" x14ac:dyDescent="0.15">
      <c r="A384" t="s">
        <v>552</v>
      </c>
      <c r="B384" t="s">
        <v>5445</v>
      </c>
      <c r="C384" t="s">
        <v>74</v>
      </c>
      <c r="D384" t="s">
        <v>74</v>
      </c>
      <c r="E384" t="s">
        <v>74</v>
      </c>
      <c r="F384" t="s">
        <v>5445</v>
      </c>
      <c r="G384" t="s">
        <v>74</v>
      </c>
      <c r="H384" t="s">
        <v>74</v>
      </c>
      <c r="I384" t="s">
        <v>5446</v>
      </c>
      <c r="J384" t="s">
        <v>5447</v>
      </c>
      <c r="K384" t="s">
        <v>74</v>
      </c>
      <c r="L384" t="s">
        <v>74</v>
      </c>
      <c r="M384" t="s">
        <v>78</v>
      </c>
      <c r="N384" t="s">
        <v>775</v>
      </c>
      <c r="O384" t="s">
        <v>74</v>
      </c>
      <c r="P384" t="s">
        <v>74</v>
      </c>
      <c r="Q384" t="s">
        <v>74</v>
      </c>
      <c r="R384" t="s">
        <v>74</v>
      </c>
      <c r="S384" t="s">
        <v>74</v>
      </c>
      <c r="T384" t="s">
        <v>5448</v>
      </c>
      <c r="U384" t="s">
        <v>5449</v>
      </c>
      <c r="V384" t="s">
        <v>5450</v>
      </c>
      <c r="W384" t="s">
        <v>5451</v>
      </c>
      <c r="X384" t="s">
        <v>5452</v>
      </c>
      <c r="Y384" t="s">
        <v>5453</v>
      </c>
      <c r="Z384" t="s">
        <v>74</v>
      </c>
      <c r="AA384" t="s">
        <v>74</v>
      </c>
      <c r="AB384" t="s">
        <v>74</v>
      </c>
      <c r="AC384" t="s">
        <v>74</v>
      </c>
      <c r="AD384" t="s">
        <v>74</v>
      </c>
      <c r="AE384" t="s">
        <v>74</v>
      </c>
      <c r="AF384" t="s">
        <v>74</v>
      </c>
      <c r="AG384">
        <v>39</v>
      </c>
      <c r="AH384">
        <v>12</v>
      </c>
      <c r="AI384">
        <v>16</v>
      </c>
      <c r="AJ384">
        <v>3</v>
      </c>
      <c r="AK384">
        <v>4</v>
      </c>
      <c r="AL384" t="s">
        <v>5454</v>
      </c>
      <c r="AM384" t="s">
        <v>2113</v>
      </c>
      <c r="AN384" t="s">
        <v>5455</v>
      </c>
      <c r="AO384" t="s">
        <v>5456</v>
      </c>
      <c r="AP384" t="s">
        <v>74</v>
      </c>
      <c r="AQ384" t="s">
        <v>74</v>
      </c>
      <c r="AR384" t="s">
        <v>5457</v>
      </c>
      <c r="AS384" t="s">
        <v>5458</v>
      </c>
      <c r="AT384" t="s">
        <v>5459</v>
      </c>
      <c r="AU384">
        <v>2002</v>
      </c>
      <c r="AV384">
        <v>368</v>
      </c>
      <c r="AW384" t="s">
        <v>74</v>
      </c>
      <c r="AX384">
        <v>3</v>
      </c>
      <c r="AY384" t="s">
        <v>74</v>
      </c>
      <c r="AZ384" t="s">
        <v>74</v>
      </c>
      <c r="BA384" t="s">
        <v>74</v>
      </c>
      <c r="BB384">
        <v>799</v>
      </c>
      <c r="BC384">
        <v>808</v>
      </c>
      <c r="BD384" t="s">
        <v>74</v>
      </c>
      <c r="BE384" t="s">
        <v>5460</v>
      </c>
      <c r="BF384" t="str">
        <f>HYPERLINK("http://dx.doi.org/10.1042/BJ20020632","http://dx.doi.org/10.1042/BJ20020632")</f>
        <v>http://dx.doi.org/10.1042/BJ20020632</v>
      </c>
      <c r="BG384" t="s">
        <v>74</v>
      </c>
      <c r="BH384" t="s">
        <v>74</v>
      </c>
      <c r="BI384">
        <v>10</v>
      </c>
      <c r="BJ384" t="s">
        <v>2171</v>
      </c>
      <c r="BK384" t="s">
        <v>569</v>
      </c>
      <c r="BL384" t="s">
        <v>2171</v>
      </c>
      <c r="BM384" t="s">
        <v>5461</v>
      </c>
      <c r="BN384">
        <v>12213085</v>
      </c>
      <c r="BO384" t="s">
        <v>794</v>
      </c>
      <c r="BP384" t="s">
        <v>74</v>
      </c>
      <c r="BQ384" t="s">
        <v>74</v>
      </c>
      <c r="BR384" t="s">
        <v>98</v>
      </c>
      <c r="BS384" t="s">
        <v>5462</v>
      </c>
      <c r="BT384" t="str">
        <f>HYPERLINK("https%3A%2F%2Fwww.webofscience.com%2Fwos%2Fwoscc%2Ffull-record%2FWOS:000180061800015","View Full Record in Web of Science")</f>
        <v>View Full Record in Web of Science</v>
      </c>
    </row>
    <row r="385" spans="1:72" x14ac:dyDescent="0.15">
      <c r="A385" t="s">
        <v>552</v>
      </c>
      <c r="B385" t="s">
        <v>5463</v>
      </c>
      <c r="C385" t="s">
        <v>74</v>
      </c>
      <c r="D385" t="s">
        <v>74</v>
      </c>
      <c r="E385" t="s">
        <v>74</v>
      </c>
      <c r="F385" t="s">
        <v>5463</v>
      </c>
      <c r="G385" t="s">
        <v>74</v>
      </c>
      <c r="H385" t="s">
        <v>74</v>
      </c>
      <c r="I385" t="s">
        <v>5464</v>
      </c>
      <c r="J385" t="s">
        <v>5091</v>
      </c>
      <c r="K385" t="s">
        <v>74</v>
      </c>
      <c r="L385" t="s">
        <v>74</v>
      </c>
      <c r="M385" t="s">
        <v>78</v>
      </c>
      <c r="N385" t="s">
        <v>775</v>
      </c>
      <c r="O385" t="s">
        <v>74</v>
      </c>
      <c r="P385" t="s">
        <v>74</v>
      </c>
      <c r="Q385" t="s">
        <v>74</v>
      </c>
      <c r="R385" t="s">
        <v>74</v>
      </c>
      <c r="S385" t="s">
        <v>74</v>
      </c>
      <c r="T385" t="s">
        <v>5465</v>
      </c>
      <c r="U385" t="s">
        <v>5466</v>
      </c>
      <c r="V385" t="s">
        <v>5467</v>
      </c>
      <c r="W385" t="s">
        <v>5468</v>
      </c>
      <c r="X385" t="s">
        <v>5469</v>
      </c>
      <c r="Y385" t="s">
        <v>5470</v>
      </c>
      <c r="Z385" t="s">
        <v>5471</v>
      </c>
      <c r="AA385" t="s">
        <v>5472</v>
      </c>
      <c r="AB385" t="s">
        <v>5473</v>
      </c>
      <c r="AC385" t="s">
        <v>74</v>
      </c>
      <c r="AD385" t="s">
        <v>74</v>
      </c>
      <c r="AE385" t="s">
        <v>74</v>
      </c>
      <c r="AF385" t="s">
        <v>74</v>
      </c>
      <c r="AG385">
        <v>46</v>
      </c>
      <c r="AH385">
        <v>64</v>
      </c>
      <c r="AI385">
        <v>71</v>
      </c>
      <c r="AJ385">
        <v>2</v>
      </c>
      <c r="AK385">
        <v>20</v>
      </c>
      <c r="AL385" t="s">
        <v>387</v>
      </c>
      <c r="AM385" t="s">
        <v>388</v>
      </c>
      <c r="AN385" t="s">
        <v>389</v>
      </c>
      <c r="AO385" t="s">
        <v>5101</v>
      </c>
      <c r="AP385" t="s">
        <v>74</v>
      </c>
      <c r="AQ385" t="s">
        <v>74</v>
      </c>
      <c r="AR385" t="s">
        <v>5102</v>
      </c>
      <c r="AS385" t="s">
        <v>5103</v>
      </c>
      <c r="AT385" t="s">
        <v>5474</v>
      </c>
      <c r="AU385">
        <v>2002</v>
      </c>
      <c r="AV385">
        <v>107</v>
      </c>
      <c r="AW385" t="s">
        <v>5475</v>
      </c>
      <c r="AX385" t="s">
        <v>74</v>
      </c>
      <c r="AY385" t="s">
        <v>74</v>
      </c>
      <c r="AZ385" t="s">
        <v>74</v>
      </c>
      <c r="BA385" t="s">
        <v>74</v>
      </c>
      <c r="BB385" t="s">
        <v>74</v>
      </c>
      <c r="BC385" t="s">
        <v>74</v>
      </c>
      <c r="BD385">
        <v>4722</v>
      </c>
      <c r="BE385" t="s">
        <v>5476</v>
      </c>
      <c r="BF385" t="str">
        <f>HYPERLINK("http://dx.doi.org/10.1029/2002JD002057","http://dx.doi.org/10.1029/2002JD002057")</f>
        <v>http://dx.doi.org/10.1029/2002JD002057</v>
      </c>
      <c r="BG385" t="s">
        <v>74</v>
      </c>
      <c r="BH385" t="s">
        <v>74</v>
      </c>
      <c r="BI385">
        <v>9</v>
      </c>
      <c r="BJ385" t="s">
        <v>1237</v>
      </c>
      <c r="BK385" t="s">
        <v>569</v>
      </c>
      <c r="BL385" t="s">
        <v>1237</v>
      </c>
      <c r="BM385" t="s">
        <v>5477</v>
      </c>
      <c r="BN385" t="s">
        <v>74</v>
      </c>
      <c r="BO385" t="s">
        <v>74</v>
      </c>
      <c r="BP385" t="s">
        <v>74</v>
      </c>
      <c r="BQ385" t="s">
        <v>74</v>
      </c>
      <c r="BR385" t="s">
        <v>98</v>
      </c>
      <c r="BS385" t="s">
        <v>5478</v>
      </c>
      <c r="BT385" t="str">
        <f>HYPERLINK("https%3A%2F%2Fwww.webofscience.com%2Fwos%2Fwoscc%2Ffull-record%2FWOS:000181169100006","View Full Record in Web of Science")</f>
        <v>View Full Record in Web of Science</v>
      </c>
    </row>
    <row r="386" spans="1:72" x14ac:dyDescent="0.15">
      <c r="A386" t="s">
        <v>552</v>
      </c>
      <c r="B386" t="s">
        <v>5479</v>
      </c>
      <c r="C386" t="s">
        <v>74</v>
      </c>
      <c r="D386" t="s">
        <v>74</v>
      </c>
      <c r="E386" t="s">
        <v>74</v>
      </c>
      <c r="F386" t="s">
        <v>5479</v>
      </c>
      <c r="G386" t="s">
        <v>74</v>
      </c>
      <c r="H386" t="s">
        <v>74</v>
      </c>
      <c r="I386" t="s">
        <v>5480</v>
      </c>
      <c r="J386" t="s">
        <v>5223</v>
      </c>
      <c r="K386" t="s">
        <v>74</v>
      </c>
      <c r="L386" t="s">
        <v>74</v>
      </c>
      <c r="M386" t="s">
        <v>78</v>
      </c>
      <c r="N386" t="s">
        <v>775</v>
      </c>
      <c r="O386" t="s">
        <v>74</v>
      </c>
      <c r="P386" t="s">
        <v>74</v>
      </c>
      <c r="Q386" t="s">
        <v>74</v>
      </c>
      <c r="R386" t="s">
        <v>74</v>
      </c>
      <c r="S386" t="s">
        <v>74</v>
      </c>
      <c r="T386" t="s">
        <v>5481</v>
      </c>
      <c r="U386" t="s">
        <v>5482</v>
      </c>
      <c r="V386" t="s">
        <v>5483</v>
      </c>
      <c r="W386" t="s">
        <v>5484</v>
      </c>
      <c r="X386" t="s">
        <v>5485</v>
      </c>
      <c r="Y386" t="s">
        <v>5486</v>
      </c>
      <c r="Z386" t="s">
        <v>5487</v>
      </c>
      <c r="AA386" t="s">
        <v>5488</v>
      </c>
      <c r="AB386" t="s">
        <v>5489</v>
      </c>
      <c r="AC386" t="s">
        <v>74</v>
      </c>
      <c r="AD386" t="s">
        <v>74</v>
      </c>
      <c r="AE386" t="s">
        <v>74</v>
      </c>
      <c r="AF386" t="s">
        <v>74</v>
      </c>
      <c r="AG386">
        <v>21</v>
      </c>
      <c r="AH386">
        <v>54</v>
      </c>
      <c r="AI386">
        <v>58</v>
      </c>
      <c r="AJ386">
        <v>1</v>
      </c>
      <c r="AK386">
        <v>6</v>
      </c>
      <c r="AL386" t="s">
        <v>387</v>
      </c>
      <c r="AM386" t="s">
        <v>388</v>
      </c>
      <c r="AN386" t="s">
        <v>389</v>
      </c>
      <c r="AO386" t="s">
        <v>5231</v>
      </c>
      <c r="AP386" t="s">
        <v>5232</v>
      </c>
      <c r="AQ386" t="s">
        <v>74</v>
      </c>
      <c r="AR386" t="s">
        <v>5233</v>
      </c>
      <c r="AS386" t="s">
        <v>5234</v>
      </c>
      <c r="AT386" t="s">
        <v>5474</v>
      </c>
      <c r="AU386">
        <v>2002</v>
      </c>
      <c r="AV386">
        <v>107</v>
      </c>
      <c r="AW386" t="s">
        <v>5235</v>
      </c>
      <c r="AX386" t="s">
        <v>74</v>
      </c>
      <c r="AY386" t="s">
        <v>74</v>
      </c>
      <c r="AZ386" t="s">
        <v>74</v>
      </c>
      <c r="BA386" t="s">
        <v>74</v>
      </c>
      <c r="BB386" t="s">
        <v>74</v>
      </c>
      <c r="BC386" t="s">
        <v>74</v>
      </c>
      <c r="BD386">
        <v>1441</v>
      </c>
      <c r="BE386" t="s">
        <v>5490</v>
      </c>
      <c r="BF386" t="str">
        <f>HYPERLINK("http://dx.doi.org/10.1029/2001JA000501","http://dx.doi.org/10.1029/2001JA000501")</f>
        <v>http://dx.doi.org/10.1029/2001JA000501</v>
      </c>
      <c r="BG386" t="s">
        <v>74</v>
      </c>
      <c r="BH386" t="s">
        <v>74</v>
      </c>
      <c r="BI386">
        <v>7</v>
      </c>
      <c r="BJ386" t="s">
        <v>4840</v>
      </c>
      <c r="BK386" t="s">
        <v>569</v>
      </c>
      <c r="BL386" t="s">
        <v>4840</v>
      </c>
      <c r="BM386" t="s">
        <v>5491</v>
      </c>
      <c r="BN386" t="s">
        <v>74</v>
      </c>
      <c r="BO386" t="s">
        <v>572</v>
      </c>
      <c r="BP386" t="s">
        <v>74</v>
      </c>
      <c r="BQ386" t="s">
        <v>74</v>
      </c>
      <c r="BR386" t="s">
        <v>98</v>
      </c>
      <c r="BS386" t="s">
        <v>5492</v>
      </c>
      <c r="BT386" t="str">
        <f>HYPERLINK("https%3A%2F%2Fwww.webofscience.com%2Fwos%2Fwoscc%2Ffull-record%2FWOS:000181185400001","View Full Record in Web of Science")</f>
        <v>View Full Record in Web of Science</v>
      </c>
    </row>
    <row r="387" spans="1:72" x14ac:dyDescent="0.15">
      <c r="A387" t="s">
        <v>552</v>
      </c>
      <c r="B387" t="s">
        <v>5493</v>
      </c>
      <c r="C387" t="s">
        <v>74</v>
      </c>
      <c r="D387" t="s">
        <v>74</v>
      </c>
      <c r="E387" t="s">
        <v>74</v>
      </c>
      <c r="F387" t="s">
        <v>5493</v>
      </c>
      <c r="G387" t="s">
        <v>74</v>
      </c>
      <c r="H387" t="s">
        <v>74</v>
      </c>
      <c r="I387" t="s">
        <v>5494</v>
      </c>
      <c r="J387" t="s">
        <v>5495</v>
      </c>
      <c r="K387" t="s">
        <v>74</v>
      </c>
      <c r="L387" t="s">
        <v>74</v>
      </c>
      <c r="M387" t="s">
        <v>78</v>
      </c>
      <c r="N387" t="s">
        <v>775</v>
      </c>
      <c r="O387" t="s">
        <v>74</v>
      </c>
      <c r="P387" t="s">
        <v>74</v>
      </c>
      <c r="Q387" t="s">
        <v>74</v>
      </c>
      <c r="R387" t="s">
        <v>74</v>
      </c>
      <c r="S387" t="s">
        <v>74</v>
      </c>
      <c r="T387" t="s">
        <v>5496</v>
      </c>
      <c r="U387" t="s">
        <v>5497</v>
      </c>
      <c r="V387" t="s">
        <v>5498</v>
      </c>
      <c r="W387" t="s">
        <v>5499</v>
      </c>
      <c r="X387" t="s">
        <v>5500</v>
      </c>
      <c r="Y387" t="s">
        <v>5501</v>
      </c>
      <c r="Z387" t="s">
        <v>5502</v>
      </c>
      <c r="AA387" t="s">
        <v>5503</v>
      </c>
      <c r="AB387" t="s">
        <v>5504</v>
      </c>
      <c r="AC387" t="s">
        <v>74</v>
      </c>
      <c r="AD387" t="s">
        <v>74</v>
      </c>
      <c r="AE387" t="s">
        <v>74</v>
      </c>
      <c r="AF387" t="s">
        <v>74</v>
      </c>
      <c r="AG387">
        <v>50</v>
      </c>
      <c r="AH387">
        <v>24</v>
      </c>
      <c r="AI387">
        <v>27</v>
      </c>
      <c r="AJ387">
        <v>0</v>
      </c>
      <c r="AK387">
        <v>9</v>
      </c>
      <c r="AL387" t="s">
        <v>387</v>
      </c>
      <c r="AM387" t="s">
        <v>388</v>
      </c>
      <c r="AN387" t="s">
        <v>389</v>
      </c>
      <c r="AO387" t="s">
        <v>5505</v>
      </c>
      <c r="AP387" t="s">
        <v>5506</v>
      </c>
      <c r="AQ387" t="s">
        <v>74</v>
      </c>
      <c r="AR387" t="s">
        <v>5507</v>
      </c>
      <c r="AS387" t="s">
        <v>5508</v>
      </c>
      <c r="AT387" t="s">
        <v>5509</v>
      </c>
      <c r="AU387">
        <v>2002</v>
      </c>
      <c r="AV387">
        <v>107</v>
      </c>
      <c r="AW387" t="s">
        <v>5510</v>
      </c>
      <c r="AX387" t="s">
        <v>74</v>
      </c>
      <c r="AY387" t="s">
        <v>74</v>
      </c>
      <c r="AZ387" t="s">
        <v>74</v>
      </c>
      <c r="BA387" t="s">
        <v>74</v>
      </c>
      <c r="BB387" t="s">
        <v>74</v>
      </c>
      <c r="BC387" t="s">
        <v>74</v>
      </c>
      <c r="BD387">
        <v>2346</v>
      </c>
      <c r="BE387" t="s">
        <v>5511</v>
      </c>
      <c r="BF387" t="str">
        <f>HYPERLINK("http://dx.doi.org/10.1029/2002JB001897","http://dx.doi.org/10.1029/2002JB001897")</f>
        <v>http://dx.doi.org/10.1029/2002JB001897</v>
      </c>
      <c r="BG387" t="s">
        <v>74</v>
      </c>
      <c r="BH387" t="s">
        <v>74</v>
      </c>
      <c r="BI387">
        <v>20</v>
      </c>
      <c r="BJ387" t="s">
        <v>2068</v>
      </c>
      <c r="BK387" t="s">
        <v>569</v>
      </c>
      <c r="BL387" t="s">
        <v>2068</v>
      </c>
      <c r="BM387" t="s">
        <v>5512</v>
      </c>
      <c r="BN387" t="s">
        <v>74</v>
      </c>
      <c r="BO387" t="s">
        <v>794</v>
      </c>
      <c r="BP387" t="s">
        <v>74</v>
      </c>
      <c r="BQ387" t="s">
        <v>74</v>
      </c>
      <c r="BR387" t="s">
        <v>98</v>
      </c>
      <c r="BS387" t="s">
        <v>5513</v>
      </c>
      <c r="BT387" t="str">
        <f>HYPERLINK("https%3A%2F%2Fwww.webofscience.com%2Fwos%2Fwoscc%2Ffull-record%2FWOS:000181175800004","View Full Record in Web of Science")</f>
        <v>View Full Record in Web of Science</v>
      </c>
    </row>
    <row r="388" spans="1:72" x14ac:dyDescent="0.15">
      <c r="A388" t="s">
        <v>552</v>
      </c>
      <c r="B388" t="s">
        <v>5514</v>
      </c>
      <c r="C388" t="s">
        <v>74</v>
      </c>
      <c r="D388" t="s">
        <v>74</v>
      </c>
      <c r="E388" t="s">
        <v>74</v>
      </c>
      <c r="F388" t="s">
        <v>5514</v>
      </c>
      <c r="G388" t="s">
        <v>74</v>
      </c>
      <c r="H388" t="s">
        <v>74</v>
      </c>
      <c r="I388" t="s">
        <v>5515</v>
      </c>
      <c r="J388" t="s">
        <v>5495</v>
      </c>
      <c r="K388" t="s">
        <v>74</v>
      </c>
      <c r="L388" t="s">
        <v>74</v>
      </c>
      <c r="M388" t="s">
        <v>78</v>
      </c>
      <c r="N388" t="s">
        <v>775</v>
      </c>
      <c r="O388" t="s">
        <v>74</v>
      </c>
      <c r="P388" t="s">
        <v>74</v>
      </c>
      <c r="Q388" t="s">
        <v>74</v>
      </c>
      <c r="R388" t="s">
        <v>74</v>
      </c>
      <c r="S388" t="s">
        <v>74</v>
      </c>
      <c r="T388" t="s">
        <v>5516</v>
      </c>
      <c r="U388" t="s">
        <v>5517</v>
      </c>
      <c r="V388" t="s">
        <v>5518</v>
      </c>
      <c r="W388" t="s">
        <v>5499</v>
      </c>
      <c r="X388" t="s">
        <v>5500</v>
      </c>
      <c r="Y388" t="s">
        <v>489</v>
      </c>
      <c r="Z388" t="s">
        <v>5519</v>
      </c>
      <c r="AA388" t="s">
        <v>5503</v>
      </c>
      <c r="AB388" t="s">
        <v>5504</v>
      </c>
      <c r="AC388" t="s">
        <v>74</v>
      </c>
      <c r="AD388" t="s">
        <v>74</v>
      </c>
      <c r="AE388" t="s">
        <v>74</v>
      </c>
      <c r="AF388" t="s">
        <v>74</v>
      </c>
      <c r="AG388">
        <v>50</v>
      </c>
      <c r="AH388">
        <v>96</v>
      </c>
      <c r="AI388">
        <v>101</v>
      </c>
      <c r="AJ388">
        <v>0</v>
      </c>
      <c r="AK388">
        <v>10</v>
      </c>
      <c r="AL388" t="s">
        <v>387</v>
      </c>
      <c r="AM388" t="s">
        <v>388</v>
      </c>
      <c r="AN388" t="s">
        <v>389</v>
      </c>
      <c r="AO388" t="s">
        <v>5505</v>
      </c>
      <c r="AP388" t="s">
        <v>5506</v>
      </c>
      <c r="AQ388" t="s">
        <v>74</v>
      </c>
      <c r="AR388" t="s">
        <v>5507</v>
      </c>
      <c r="AS388" t="s">
        <v>5508</v>
      </c>
      <c r="AT388" t="s">
        <v>5509</v>
      </c>
      <c r="AU388">
        <v>2002</v>
      </c>
      <c r="AV388">
        <v>107</v>
      </c>
      <c r="AW388" t="s">
        <v>5510</v>
      </c>
      <c r="AX388" t="s">
        <v>74</v>
      </c>
      <c r="AY388" t="s">
        <v>74</v>
      </c>
      <c r="AZ388" t="s">
        <v>74</v>
      </c>
      <c r="BA388" t="s">
        <v>74</v>
      </c>
      <c r="BB388" t="s">
        <v>74</v>
      </c>
      <c r="BC388" t="s">
        <v>74</v>
      </c>
      <c r="BD388">
        <v>2345</v>
      </c>
      <c r="BE388" t="s">
        <v>5520</v>
      </c>
      <c r="BF388" t="str">
        <f>HYPERLINK("http://dx.doi.org/10.1029/2000JB000052","http://dx.doi.org/10.1029/2000JB000052")</f>
        <v>http://dx.doi.org/10.1029/2000JB000052</v>
      </c>
      <c r="BG388" t="s">
        <v>74</v>
      </c>
      <c r="BH388" t="s">
        <v>74</v>
      </c>
      <c r="BI388">
        <v>19</v>
      </c>
      <c r="BJ388" t="s">
        <v>2068</v>
      </c>
      <c r="BK388" t="s">
        <v>569</v>
      </c>
      <c r="BL388" t="s">
        <v>2068</v>
      </c>
      <c r="BM388" t="s">
        <v>5512</v>
      </c>
      <c r="BN388" t="s">
        <v>74</v>
      </c>
      <c r="BO388" t="s">
        <v>794</v>
      </c>
      <c r="BP388" t="s">
        <v>74</v>
      </c>
      <c r="BQ388" t="s">
        <v>74</v>
      </c>
      <c r="BR388" t="s">
        <v>98</v>
      </c>
      <c r="BS388" t="s">
        <v>5521</v>
      </c>
      <c r="BT388" t="str">
        <f>HYPERLINK("https%3A%2F%2Fwww.webofscience.com%2Fwos%2Fwoscc%2Ffull-record%2FWOS:000181175800001","View Full Record in Web of Science")</f>
        <v>View Full Record in Web of Science</v>
      </c>
    </row>
    <row r="389" spans="1:72" x14ac:dyDescent="0.15">
      <c r="A389" t="s">
        <v>552</v>
      </c>
      <c r="B389" t="s">
        <v>5522</v>
      </c>
      <c r="C389" t="s">
        <v>74</v>
      </c>
      <c r="D389" t="s">
        <v>74</v>
      </c>
      <c r="E389" t="s">
        <v>74</v>
      </c>
      <c r="F389" t="s">
        <v>5522</v>
      </c>
      <c r="G389" t="s">
        <v>74</v>
      </c>
      <c r="H389" t="s">
        <v>74</v>
      </c>
      <c r="I389" t="s">
        <v>5523</v>
      </c>
      <c r="J389" t="s">
        <v>5223</v>
      </c>
      <c r="K389" t="s">
        <v>74</v>
      </c>
      <c r="L389" t="s">
        <v>74</v>
      </c>
      <c r="M389" t="s">
        <v>78</v>
      </c>
      <c r="N389" t="s">
        <v>775</v>
      </c>
      <c r="O389" t="s">
        <v>74</v>
      </c>
      <c r="P389" t="s">
        <v>74</v>
      </c>
      <c r="Q389" t="s">
        <v>74</v>
      </c>
      <c r="R389" t="s">
        <v>74</v>
      </c>
      <c r="S389" t="s">
        <v>74</v>
      </c>
      <c r="T389" t="s">
        <v>5524</v>
      </c>
      <c r="U389" t="s">
        <v>5525</v>
      </c>
      <c r="V389" t="s">
        <v>5526</v>
      </c>
      <c r="W389" t="s">
        <v>5527</v>
      </c>
      <c r="X389" t="s">
        <v>5528</v>
      </c>
      <c r="Y389" t="s">
        <v>3993</v>
      </c>
      <c r="Z389" t="s">
        <v>5529</v>
      </c>
      <c r="AA389" t="s">
        <v>5530</v>
      </c>
      <c r="AB389" t="s">
        <v>5531</v>
      </c>
      <c r="AC389" t="s">
        <v>74</v>
      </c>
      <c r="AD389" t="s">
        <v>74</v>
      </c>
      <c r="AE389" t="s">
        <v>74</v>
      </c>
      <c r="AF389" t="s">
        <v>74</v>
      </c>
      <c r="AG389">
        <v>27</v>
      </c>
      <c r="AH389">
        <v>11</v>
      </c>
      <c r="AI389">
        <v>13</v>
      </c>
      <c r="AJ389">
        <v>0</v>
      </c>
      <c r="AK389">
        <v>1</v>
      </c>
      <c r="AL389" t="s">
        <v>387</v>
      </c>
      <c r="AM389" t="s">
        <v>388</v>
      </c>
      <c r="AN389" t="s">
        <v>389</v>
      </c>
      <c r="AO389" t="s">
        <v>5231</v>
      </c>
      <c r="AP389" t="s">
        <v>5232</v>
      </c>
      <c r="AQ389" t="s">
        <v>74</v>
      </c>
      <c r="AR389" t="s">
        <v>5233</v>
      </c>
      <c r="AS389" t="s">
        <v>5234</v>
      </c>
      <c r="AT389" t="s">
        <v>5509</v>
      </c>
      <c r="AU389">
        <v>2002</v>
      </c>
      <c r="AV389">
        <v>107</v>
      </c>
      <c r="AW389" t="s">
        <v>5235</v>
      </c>
      <c r="AX389" t="s">
        <v>74</v>
      </c>
      <c r="AY389" t="s">
        <v>74</v>
      </c>
      <c r="AZ389" t="s">
        <v>74</v>
      </c>
      <c r="BA389" t="s">
        <v>74</v>
      </c>
      <c r="BB389" t="s">
        <v>74</v>
      </c>
      <c r="BC389" t="s">
        <v>74</v>
      </c>
      <c r="BD389">
        <v>1439</v>
      </c>
      <c r="BE389" t="s">
        <v>5532</v>
      </c>
      <c r="BF389" t="str">
        <f>HYPERLINK("http://dx.doi.org/10.1029/2002JA009389","http://dx.doi.org/10.1029/2002JA009389")</f>
        <v>http://dx.doi.org/10.1029/2002JA009389</v>
      </c>
      <c r="BG389" t="s">
        <v>74</v>
      </c>
      <c r="BH389" t="s">
        <v>74</v>
      </c>
      <c r="BI389">
        <v>14</v>
      </c>
      <c r="BJ389" t="s">
        <v>4840</v>
      </c>
      <c r="BK389" t="s">
        <v>569</v>
      </c>
      <c r="BL389" t="s">
        <v>4840</v>
      </c>
      <c r="BM389" t="s">
        <v>5533</v>
      </c>
      <c r="BN389" t="s">
        <v>74</v>
      </c>
      <c r="BO389" t="s">
        <v>3260</v>
      </c>
      <c r="BP389" t="s">
        <v>74</v>
      </c>
      <c r="BQ389" t="s">
        <v>74</v>
      </c>
      <c r="BR389" t="s">
        <v>98</v>
      </c>
      <c r="BS389" t="s">
        <v>5534</v>
      </c>
      <c r="BT389" t="str">
        <f>HYPERLINK("https%3A%2F%2Fwww.webofscience.com%2Fwos%2Fwoscc%2Ffull-record%2FWOS:000181185000002","View Full Record in Web of Science")</f>
        <v>View Full Record in Web of Science</v>
      </c>
    </row>
    <row r="390" spans="1:72" x14ac:dyDescent="0.15">
      <c r="A390" t="s">
        <v>552</v>
      </c>
      <c r="B390" t="s">
        <v>5535</v>
      </c>
      <c r="C390" t="s">
        <v>74</v>
      </c>
      <c r="D390" t="s">
        <v>74</v>
      </c>
      <c r="E390" t="s">
        <v>74</v>
      </c>
      <c r="F390" t="s">
        <v>5535</v>
      </c>
      <c r="G390" t="s">
        <v>74</v>
      </c>
      <c r="H390" t="s">
        <v>74</v>
      </c>
      <c r="I390" t="s">
        <v>5536</v>
      </c>
      <c r="J390" t="s">
        <v>5162</v>
      </c>
      <c r="K390" t="s">
        <v>74</v>
      </c>
      <c r="L390" t="s">
        <v>74</v>
      </c>
      <c r="M390" t="s">
        <v>78</v>
      </c>
      <c r="N390" t="s">
        <v>775</v>
      </c>
      <c r="O390" t="s">
        <v>74</v>
      </c>
      <c r="P390" t="s">
        <v>74</v>
      </c>
      <c r="Q390" t="s">
        <v>74</v>
      </c>
      <c r="R390" t="s">
        <v>74</v>
      </c>
      <c r="S390" t="s">
        <v>74</v>
      </c>
      <c r="T390" t="s">
        <v>74</v>
      </c>
      <c r="U390" t="s">
        <v>5537</v>
      </c>
      <c r="V390" t="s">
        <v>5538</v>
      </c>
      <c r="W390" t="s">
        <v>5539</v>
      </c>
      <c r="X390" t="s">
        <v>5540</v>
      </c>
      <c r="Y390" t="s">
        <v>5541</v>
      </c>
      <c r="Z390" t="s">
        <v>5542</v>
      </c>
      <c r="AA390" t="s">
        <v>5543</v>
      </c>
      <c r="AB390" t="s">
        <v>5544</v>
      </c>
      <c r="AC390" t="s">
        <v>74</v>
      </c>
      <c r="AD390" t="s">
        <v>74</v>
      </c>
      <c r="AE390" t="s">
        <v>74</v>
      </c>
      <c r="AF390" t="s">
        <v>74</v>
      </c>
      <c r="AG390">
        <v>33</v>
      </c>
      <c r="AH390">
        <v>17</v>
      </c>
      <c r="AI390">
        <v>19</v>
      </c>
      <c r="AJ390">
        <v>0</v>
      </c>
      <c r="AK390">
        <v>7</v>
      </c>
      <c r="AL390" t="s">
        <v>387</v>
      </c>
      <c r="AM390" t="s">
        <v>388</v>
      </c>
      <c r="AN390" t="s">
        <v>389</v>
      </c>
      <c r="AO390" t="s">
        <v>5169</v>
      </c>
      <c r="AP390" t="s">
        <v>5170</v>
      </c>
      <c r="AQ390" t="s">
        <v>74</v>
      </c>
      <c r="AR390" t="s">
        <v>5171</v>
      </c>
      <c r="AS390" t="s">
        <v>5172</v>
      </c>
      <c r="AT390" t="s">
        <v>5545</v>
      </c>
      <c r="AU390">
        <v>2002</v>
      </c>
      <c r="AV390">
        <v>29</v>
      </c>
      <c r="AW390">
        <v>23</v>
      </c>
      <c r="AX390" t="s">
        <v>74</v>
      </c>
      <c r="AY390" t="s">
        <v>74</v>
      </c>
      <c r="AZ390" t="s">
        <v>74</v>
      </c>
      <c r="BA390" t="s">
        <v>74</v>
      </c>
      <c r="BB390" t="s">
        <v>74</v>
      </c>
      <c r="BC390" t="s">
        <v>74</v>
      </c>
      <c r="BD390">
        <v>2131</v>
      </c>
      <c r="BE390" t="s">
        <v>5546</v>
      </c>
      <c r="BF390" t="str">
        <f>HYPERLINK("http://dx.doi.org/10.1029/2002GL015395","http://dx.doi.org/10.1029/2002GL015395")</f>
        <v>http://dx.doi.org/10.1029/2002GL015395</v>
      </c>
      <c r="BG390" t="s">
        <v>74</v>
      </c>
      <c r="BH390" t="s">
        <v>74</v>
      </c>
      <c r="BI390">
        <v>4</v>
      </c>
      <c r="BJ390" t="s">
        <v>1813</v>
      </c>
      <c r="BK390" t="s">
        <v>569</v>
      </c>
      <c r="BL390" t="s">
        <v>1814</v>
      </c>
      <c r="BM390" t="s">
        <v>5547</v>
      </c>
      <c r="BN390" t="s">
        <v>74</v>
      </c>
      <c r="BO390" t="s">
        <v>74</v>
      </c>
      <c r="BP390" t="s">
        <v>74</v>
      </c>
      <c r="BQ390" t="s">
        <v>74</v>
      </c>
      <c r="BR390" t="s">
        <v>98</v>
      </c>
      <c r="BS390" t="s">
        <v>5548</v>
      </c>
      <c r="BT390" t="str">
        <f>HYPERLINK("https%3A%2F%2Fwww.webofscience.com%2Fwos%2Fwoscc%2Ffull-record%2FWOS:000181096700002","View Full Record in Web of Science")</f>
        <v>View Full Record in Web of Science</v>
      </c>
    </row>
    <row r="391" spans="1:72" x14ac:dyDescent="0.15">
      <c r="A391" t="s">
        <v>552</v>
      </c>
      <c r="B391" t="s">
        <v>5549</v>
      </c>
      <c r="C391" t="s">
        <v>74</v>
      </c>
      <c r="D391" t="s">
        <v>74</v>
      </c>
      <c r="E391" t="s">
        <v>74</v>
      </c>
      <c r="F391" t="s">
        <v>5549</v>
      </c>
      <c r="G391" t="s">
        <v>74</v>
      </c>
      <c r="H391" t="s">
        <v>74</v>
      </c>
      <c r="I391" t="s">
        <v>5550</v>
      </c>
      <c r="J391" t="s">
        <v>5428</v>
      </c>
      <c r="K391" t="s">
        <v>74</v>
      </c>
      <c r="L391" t="s">
        <v>74</v>
      </c>
      <c r="M391" t="s">
        <v>78</v>
      </c>
      <c r="N391" t="s">
        <v>775</v>
      </c>
      <c r="O391" t="s">
        <v>74</v>
      </c>
      <c r="P391" t="s">
        <v>74</v>
      </c>
      <c r="Q391" t="s">
        <v>74</v>
      </c>
      <c r="R391" t="s">
        <v>74</v>
      </c>
      <c r="S391" t="s">
        <v>74</v>
      </c>
      <c r="T391" t="s">
        <v>5551</v>
      </c>
      <c r="U391" t="s">
        <v>5552</v>
      </c>
      <c r="V391" t="s">
        <v>5553</v>
      </c>
      <c r="W391" t="s">
        <v>5554</v>
      </c>
      <c r="X391" t="s">
        <v>5555</v>
      </c>
      <c r="Y391" t="s">
        <v>5556</v>
      </c>
      <c r="Z391" t="s">
        <v>74</v>
      </c>
      <c r="AA391" t="s">
        <v>5557</v>
      </c>
      <c r="AB391" t="s">
        <v>5558</v>
      </c>
      <c r="AC391" t="s">
        <v>74</v>
      </c>
      <c r="AD391" t="s">
        <v>74</v>
      </c>
      <c r="AE391" t="s">
        <v>74</v>
      </c>
      <c r="AF391" t="s">
        <v>74</v>
      </c>
      <c r="AG391">
        <v>77</v>
      </c>
      <c r="AH391">
        <v>26</v>
      </c>
      <c r="AI391">
        <v>26</v>
      </c>
      <c r="AJ391">
        <v>2</v>
      </c>
      <c r="AK391">
        <v>12</v>
      </c>
      <c r="AL391" t="s">
        <v>387</v>
      </c>
      <c r="AM391" t="s">
        <v>388</v>
      </c>
      <c r="AN391" t="s">
        <v>389</v>
      </c>
      <c r="AO391" t="s">
        <v>5437</v>
      </c>
      <c r="AP391" t="s">
        <v>74</v>
      </c>
      <c r="AQ391" t="s">
        <v>74</v>
      </c>
      <c r="AR391" t="s">
        <v>5438</v>
      </c>
      <c r="AS391" t="s">
        <v>5439</v>
      </c>
      <c r="AT391" t="s">
        <v>5559</v>
      </c>
      <c r="AU391">
        <v>2002</v>
      </c>
      <c r="AV391">
        <v>3</v>
      </c>
      <c r="AW391" t="s">
        <v>74</v>
      </c>
      <c r="AX391" t="s">
        <v>74</v>
      </c>
      <c r="AY391" t="s">
        <v>74</v>
      </c>
      <c r="AZ391" t="s">
        <v>74</v>
      </c>
      <c r="BA391" t="s">
        <v>74</v>
      </c>
      <c r="BB391" t="s">
        <v>74</v>
      </c>
      <c r="BC391" t="s">
        <v>74</v>
      </c>
      <c r="BD391">
        <v>1072</v>
      </c>
      <c r="BE391" t="s">
        <v>5560</v>
      </c>
      <c r="BF391" t="str">
        <f>HYPERLINK("http://dx.doi.org/10.1029/2002GC000358","http://dx.doi.org/10.1029/2002GC000358")</f>
        <v>http://dx.doi.org/10.1029/2002GC000358</v>
      </c>
      <c r="BG391" t="s">
        <v>74</v>
      </c>
      <c r="BH391" t="s">
        <v>74</v>
      </c>
      <c r="BI391">
        <v>18</v>
      </c>
      <c r="BJ391" t="s">
        <v>2068</v>
      </c>
      <c r="BK391" t="s">
        <v>569</v>
      </c>
      <c r="BL391" t="s">
        <v>2068</v>
      </c>
      <c r="BM391" t="s">
        <v>5561</v>
      </c>
      <c r="BN391" t="s">
        <v>74</v>
      </c>
      <c r="BO391" t="s">
        <v>572</v>
      </c>
      <c r="BP391" t="s">
        <v>74</v>
      </c>
      <c r="BQ391" t="s">
        <v>74</v>
      </c>
      <c r="BR391" t="s">
        <v>98</v>
      </c>
      <c r="BS391" t="s">
        <v>5562</v>
      </c>
      <c r="BT391" t="str">
        <f>HYPERLINK("https%3A%2F%2Fwww.webofscience.com%2Fwos%2Fwoscc%2Ffull-record%2FWOS:000179845300002","View Full Record in Web of Science")</f>
        <v>View Full Record in Web of Science</v>
      </c>
    </row>
    <row r="392" spans="1:72" x14ac:dyDescent="0.15">
      <c r="A392" t="s">
        <v>552</v>
      </c>
      <c r="B392" t="s">
        <v>5563</v>
      </c>
      <c r="C392" t="s">
        <v>74</v>
      </c>
      <c r="D392" t="s">
        <v>74</v>
      </c>
      <c r="E392" t="s">
        <v>74</v>
      </c>
      <c r="F392" t="s">
        <v>5563</v>
      </c>
      <c r="G392" t="s">
        <v>74</v>
      </c>
      <c r="H392" t="s">
        <v>74</v>
      </c>
      <c r="I392" t="s">
        <v>5564</v>
      </c>
      <c r="J392" t="s">
        <v>5091</v>
      </c>
      <c r="K392" t="s">
        <v>74</v>
      </c>
      <c r="L392" t="s">
        <v>74</v>
      </c>
      <c r="M392" t="s">
        <v>78</v>
      </c>
      <c r="N392" t="s">
        <v>775</v>
      </c>
      <c r="O392" t="s">
        <v>74</v>
      </c>
      <c r="P392" t="s">
        <v>74</v>
      </c>
      <c r="Q392" t="s">
        <v>74</v>
      </c>
      <c r="R392" t="s">
        <v>74</v>
      </c>
      <c r="S392" t="s">
        <v>74</v>
      </c>
      <c r="T392" t="s">
        <v>5565</v>
      </c>
      <c r="U392" t="s">
        <v>5566</v>
      </c>
      <c r="V392" t="s">
        <v>5567</v>
      </c>
      <c r="W392" t="s">
        <v>5568</v>
      </c>
      <c r="X392" t="s">
        <v>5569</v>
      </c>
      <c r="Y392" t="s">
        <v>5570</v>
      </c>
      <c r="Z392" t="s">
        <v>5571</v>
      </c>
      <c r="AA392" t="s">
        <v>5572</v>
      </c>
      <c r="AB392" t="s">
        <v>5573</v>
      </c>
      <c r="AC392" t="s">
        <v>74</v>
      </c>
      <c r="AD392" t="s">
        <v>74</v>
      </c>
      <c r="AE392" t="s">
        <v>74</v>
      </c>
      <c r="AF392" t="s">
        <v>74</v>
      </c>
      <c r="AG392">
        <v>64</v>
      </c>
      <c r="AH392">
        <v>12</v>
      </c>
      <c r="AI392">
        <v>12</v>
      </c>
      <c r="AJ392">
        <v>0</v>
      </c>
      <c r="AK392">
        <v>3</v>
      </c>
      <c r="AL392" t="s">
        <v>387</v>
      </c>
      <c r="AM392" t="s">
        <v>388</v>
      </c>
      <c r="AN392" t="s">
        <v>389</v>
      </c>
      <c r="AO392" t="s">
        <v>5101</v>
      </c>
      <c r="AP392" t="s">
        <v>5188</v>
      </c>
      <c r="AQ392" t="s">
        <v>74</v>
      </c>
      <c r="AR392" t="s">
        <v>5102</v>
      </c>
      <c r="AS392" t="s">
        <v>5103</v>
      </c>
      <c r="AT392" t="s">
        <v>5559</v>
      </c>
      <c r="AU392">
        <v>2002</v>
      </c>
      <c r="AV392">
        <v>108</v>
      </c>
      <c r="AW392" t="s">
        <v>5271</v>
      </c>
      <c r="AX392" t="s">
        <v>74</v>
      </c>
      <c r="AY392" t="s">
        <v>74</v>
      </c>
      <c r="AZ392" t="s">
        <v>74</v>
      </c>
      <c r="BA392" t="s">
        <v>74</v>
      </c>
      <c r="BB392" t="s">
        <v>74</v>
      </c>
      <c r="BC392" t="s">
        <v>74</v>
      </c>
      <c r="BD392">
        <v>8315</v>
      </c>
      <c r="BE392" t="s">
        <v>5574</v>
      </c>
      <c r="BF392" t="str">
        <f>HYPERLINK("http://dx.doi.org/10.1029/2001JD000781","http://dx.doi.org/10.1029/2001JD000781")</f>
        <v>http://dx.doi.org/10.1029/2001JD000781</v>
      </c>
      <c r="BG392" t="s">
        <v>74</v>
      </c>
      <c r="BH392" t="s">
        <v>74</v>
      </c>
      <c r="BI392">
        <v>19</v>
      </c>
      <c r="BJ392" t="s">
        <v>1237</v>
      </c>
      <c r="BK392" t="s">
        <v>569</v>
      </c>
      <c r="BL392" t="s">
        <v>1237</v>
      </c>
      <c r="BM392" t="s">
        <v>5575</v>
      </c>
      <c r="BN392" t="s">
        <v>74</v>
      </c>
      <c r="BO392" t="s">
        <v>5576</v>
      </c>
      <c r="BP392" t="s">
        <v>74</v>
      </c>
      <c r="BQ392" t="s">
        <v>74</v>
      </c>
      <c r="BR392" t="s">
        <v>98</v>
      </c>
      <c r="BS392" t="s">
        <v>5577</v>
      </c>
      <c r="BT392" t="str">
        <f>HYPERLINK("https%3A%2F%2Fwww.webofscience.com%2Fwos%2Fwoscc%2Ffull-record%2FWOS:000181171700001","View Full Record in Web of Science")</f>
        <v>View Full Record in Web of Science</v>
      </c>
    </row>
    <row r="393" spans="1:72" x14ac:dyDescent="0.15">
      <c r="A393" t="s">
        <v>552</v>
      </c>
      <c r="B393" t="s">
        <v>5578</v>
      </c>
      <c r="C393" t="s">
        <v>74</v>
      </c>
      <c r="D393" t="s">
        <v>74</v>
      </c>
      <c r="E393" t="s">
        <v>74</v>
      </c>
      <c r="F393" t="s">
        <v>5578</v>
      </c>
      <c r="G393" t="s">
        <v>74</v>
      </c>
      <c r="H393" t="s">
        <v>74</v>
      </c>
      <c r="I393" t="s">
        <v>5579</v>
      </c>
      <c r="J393" t="s">
        <v>5580</v>
      </c>
      <c r="K393" t="s">
        <v>74</v>
      </c>
      <c r="L393" t="s">
        <v>74</v>
      </c>
      <c r="M393" t="s">
        <v>78</v>
      </c>
      <c r="N393" t="s">
        <v>775</v>
      </c>
      <c r="O393" t="s">
        <v>74</v>
      </c>
      <c r="P393" t="s">
        <v>74</v>
      </c>
      <c r="Q393" t="s">
        <v>74</v>
      </c>
      <c r="R393" t="s">
        <v>74</v>
      </c>
      <c r="S393" t="s">
        <v>74</v>
      </c>
      <c r="T393" t="s">
        <v>74</v>
      </c>
      <c r="U393" t="s">
        <v>5581</v>
      </c>
      <c r="V393" t="s">
        <v>5582</v>
      </c>
      <c r="W393" t="s">
        <v>5583</v>
      </c>
      <c r="X393" t="s">
        <v>5584</v>
      </c>
      <c r="Y393" t="s">
        <v>5585</v>
      </c>
      <c r="Z393" t="s">
        <v>5586</v>
      </c>
      <c r="AA393" t="s">
        <v>5587</v>
      </c>
      <c r="AB393" t="s">
        <v>5588</v>
      </c>
      <c r="AC393" t="s">
        <v>74</v>
      </c>
      <c r="AD393" t="s">
        <v>74</v>
      </c>
      <c r="AE393" t="s">
        <v>74</v>
      </c>
      <c r="AF393" t="s">
        <v>74</v>
      </c>
      <c r="AG393">
        <v>50</v>
      </c>
      <c r="AH393">
        <v>4</v>
      </c>
      <c r="AI393">
        <v>5</v>
      </c>
      <c r="AJ393">
        <v>0</v>
      </c>
      <c r="AK393">
        <v>3</v>
      </c>
      <c r="AL393" t="s">
        <v>5589</v>
      </c>
      <c r="AM393" t="s">
        <v>5590</v>
      </c>
      <c r="AN393" t="s">
        <v>5591</v>
      </c>
      <c r="AO393" t="s">
        <v>5592</v>
      </c>
      <c r="AP393" t="s">
        <v>74</v>
      </c>
      <c r="AQ393" t="s">
        <v>74</v>
      </c>
      <c r="AR393" t="s">
        <v>5593</v>
      </c>
      <c r="AS393" t="s">
        <v>5594</v>
      </c>
      <c r="AT393" t="s">
        <v>5595</v>
      </c>
      <c r="AU393">
        <v>2002</v>
      </c>
      <c r="AV393">
        <v>83</v>
      </c>
      <c r="AW393">
        <v>11</v>
      </c>
      <c r="AX393" t="s">
        <v>74</v>
      </c>
      <c r="AY393" t="s">
        <v>74</v>
      </c>
      <c r="AZ393" t="s">
        <v>74</v>
      </c>
      <c r="BA393" t="s">
        <v>74</v>
      </c>
      <c r="BB393">
        <v>1398</v>
      </c>
      <c r="BC393">
        <v>1402</v>
      </c>
      <c r="BD393" t="s">
        <v>74</v>
      </c>
      <c r="BE393" t="s">
        <v>74</v>
      </c>
      <c r="BF393" t="s">
        <v>74</v>
      </c>
      <c r="BG393" t="s">
        <v>74</v>
      </c>
      <c r="BH393" t="s">
        <v>74</v>
      </c>
      <c r="BI393">
        <v>5</v>
      </c>
      <c r="BJ393" t="s">
        <v>5596</v>
      </c>
      <c r="BK393" t="s">
        <v>569</v>
      </c>
      <c r="BL393" t="s">
        <v>5597</v>
      </c>
      <c r="BM393" t="s">
        <v>5598</v>
      </c>
      <c r="BN393" t="s">
        <v>74</v>
      </c>
      <c r="BO393" t="s">
        <v>74</v>
      </c>
      <c r="BP393" t="s">
        <v>74</v>
      </c>
      <c r="BQ393" t="s">
        <v>74</v>
      </c>
      <c r="BR393" t="s">
        <v>98</v>
      </c>
      <c r="BS393" t="s">
        <v>5599</v>
      </c>
      <c r="BT393" t="str">
        <f>HYPERLINK("https%3A%2F%2Fwww.webofscience.com%2Fwos%2Fwoscc%2Ffull-record%2FWOS:000179902900028","View Full Record in Web of Science")</f>
        <v>View Full Record in Web of Science</v>
      </c>
    </row>
    <row r="394" spans="1:72" x14ac:dyDescent="0.15">
      <c r="A394" t="s">
        <v>552</v>
      </c>
      <c r="B394" t="s">
        <v>5600</v>
      </c>
      <c r="C394" t="s">
        <v>74</v>
      </c>
      <c r="D394" t="s">
        <v>74</v>
      </c>
      <c r="E394" t="s">
        <v>74</v>
      </c>
      <c r="F394" t="s">
        <v>5600</v>
      </c>
      <c r="G394" t="s">
        <v>74</v>
      </c>
      <c r="H394" t="s">
        <v>74</v>
      </c>
      <c r="I394" t="s">
        <v>5601</v>
      </c>
      <c r="J394" t="s">
        <v>5091</v>
      </c>
      <c r="K394" t="s">
        <v>74</v>
      </c>
      <c r="L394" t="s">
        <v>74</v>
      </c>
      <c r="M394" t="s">
        <v>78</v>
      </c>
      <c r="N394" t="s">
        <v>775</v>
      </c>
      <c r="O394" t="s">
        <v>74</v>
      </c>
      <c r="P394" t="s">
        <v>74</v>
      </c>
      <c r="Q394" t="s">
        <v>74</v>
      </c>
      <c r="R394" t="s">
        <v>74</v>
      </c>
      <c r="S394" t="s">
        <v>74</v>
      </c>
      <c r="T394" t="s">
        <v>5602</v>
      </c>
      <c r="U394" t="s">
        <v>5603</v>
      </c>
      <c r="V394" t="s">
        <v>5604</v>
      </c>
      <c r="W394" t="s">
        <v>5605</v>
      </c>
      <c r="X394" t="s">
        <v>5606</v>
      </c>
      <c r="Y394" t="s">
        <v>5607</v>
      </c>
      <c r="Z394" t="s">
        <v>5608</v>
      </c>
      <c r="AA394" t="s">
        <v>5609</v>
      </c>
      <c r="AB394" t="s">
        <v>5610</v>
      </c>
      <c r="AC394" t="s">
        <v>74</v>
      </c>
      <c r="AD394" t="s">
        <v>74</v>
      </c>
      <c r="AE394" t="s">
        <v>74</v>
      </c>
      <c r="AF394" t="s">
        <v>74</v>
      </c>
      <c r="AG394">
        <v>31</v>
      </c>
      <c r="AH394">
        <v>8</v>
      </c>
      <c r="AI394">
        <v>9</v>
      </c>
      <c r="AJ394">
        <v>0</v>
      </c>
      <c r="AK394">
        <v>1</v>
      </c>
      <c r="AL394" t="s">
        <v>387</v>
      </c>
      <c r="AM394" t="s">
        <v>388</v>
      </c>
      <c r="AN394" t="s">
        <v>389</v>
      </c>
      <c r="AO394" t="s">
        <v>5101</v>
      </c>
      <c r="AP394" t="s">
        <v>5188</v>
      </c>
      <c r="AQ394" t="s">
        <v>74</v>
      </c>
      <c r="AR394" t="s">
        <v>5102</v>
      </c>
      <c r="AS394" t="s">
        <v>5103</v>
      </c>
      <c r="AT394" t="s">
        <v>5595</v>
      </c>
      <c r="AU394">
        <v>2002</v>
      </c>
      <c r="AV394">
        <v>107</v>
      </c>
      <c r="AW394" t="s">
        <v>5475</v>
      </c>
      <c r="AX394" t="s">
        <v>74</v>
      </c>
      <c r="AY394" t="s">
        <v>74</v>
      </c>
      <c r="AZ394" t="s">
        <v>74</v>
      </c>
      <c r="BA394" t="s">
        <v>74</v>
      </c>
      <c r="BB394" t="s">
        <v>74</v>
      </c>
      <c r="BC394" t="s">
        <v>74</v>
      </c>
      <c r="BD394">
        <v>4703</v>
      </c>
      <c r="BE394" t="s">
        <v>5611</v>
      </c>
      <c r="BF394" t="str">
        <f>HYPERLINK("http://dx.doi.org/10.1029/2001JD001545","http://dx.doi.org/10.1029/2001JD001545")</f>
        <v>http://dx.doi.org/10.1029/2001JD001545</v>
      </c>
      <c r="BG394" t="s">
        <v>74</v>
      </c>
      <c r="BH394" t="s">
        <v>74</v>
      </c>
      <c r="BI394">
        <v>13</v>
      </c>
      <c r="BJ394" t="s">
        <v>1237</v>
      </c>
      <c r="BK394" t="s">
        <v>569</v>
      </c>
      <c r="BL394" t="s">
        <v>1237</v>
      </c>
      <c r="BM394" t="s">
        <v>5612</v>
      </c>
      <c r="BN394" t="s">
        <v>74</v>
      </c>
      <c r="BO394" t="s">
        <v>572</v>
      </c>
      <c r="BP394" t="s">
        <v>74</v>
      </c>
      <c r="BQ394" t="s">
        <v>74</v>
      </c>
      <c r="BR394" t="s">
        <v>98</v>
      </c>
      <c r="BS394" t="s">
        <v>5613</v>
      </c>
      <c r="BT394" t="str">
        <f>HYPERLINK("https%3A%2F%2Fwww.webofscience.com%2Fwos%2Fwoscc%2Ffull-record%2FWOS:000181112100002","View Full Record in Web of Science")</f>
        <v>View Full Record in Web of Science</v>
      </c>
    </row>
    <row r="395" spans="1:72" x14ac:dyDescent="0.15">
      <c r="A395" t="s">
        <v>552</v>
      </c>
      <c r="B395" t="s">
        <v>5614</v>
      </c>
      <c r="C395" t="s">
        <v>74</v>
      </c>
      <c r="D395" t="s">
        <v>74</v>
      </c>
      <c r="E395" t="s">
        <v>74</v>
      </c>
      <c r="F395" t="s">
        <v>5614</v>
      </c>
      <c r="G395" t="s">
        <v>74</v>
      </c>
      <c r="H395" t="s">
        <v>74</v>
      </c>
      <c r="I395" t="s">
        <v>5615</v>
      </c>
      <c r="J395" t="s">
        <v>5495</v>
      </c>
      <c r="K395" t="s">
        <v>74</v>
      </c>
      <c r="L395" t="s">
        <v>74</v>
      </c>
      <c r="M395" t="s">
        <v>78</v>
      </c>
      <c r="N395" t="s">
        <v>775</v>
      </c>
      <c r="O395" t="s">
        <v>74</v>
      </c>
      <c r="P395" t="s">
        <v>74</v>
      </c>
      <c r="Q395" t="s">
        <v>74</v>
      </c>
      <c r="R395" t="s">
        <v>74</v>
      </c>
      <c r="S395" t="s">
        <v>74</v>
      </c>
      <c r="T395" t="s">
        <v>5616</v>
      </c>
      <c r="U395" t="s">
        <v>5617</v>
      </c>
      <c r="V395" t="s">
        <v>5618</v>
      </c>
      <c r="W395" t="s">
        <v>5619</v>
      </c>
      <c r="X395" t="s">
        <v>5620</v>
      </c>
      <c r="Y395" t="s">
        <v>5621</v>
      </c>
      <c r="Z395" t="s">
        <v>5622</v>
      </c>
      <c r="AA395" t="s">
        <v>5623</v>
      </c>
      <c r="AB395" t="s">
        <v>74</v>
      </c>
      <c r="AC395" t="s">
        <v>74</v>
      </c>
      <c r="AD395" t="s">
        <v>74</v>
      </c>
      <c r="AE395" t="s">
        <v>74</v>
      </c>
      <c r="AF395" t="s">
        <v>74</v>
      </c>
      <c r="AG395">
        <v>43</v>
      </c>
      <c r="AH395">
        <v>27</v>
      </c>
      <c r="AI395">
        <v>27</v>
      </c>
      <c r="AJ395">
        <v>0</v>
      </c>
      <c r="AK395">
        <v>14</v>
      </c>
      <c r="AL395" t="s">
        <v>387</v>
      </c>
      <c r="AM395" t="s">
        <v>388</v>
      </c>
      <c r="AN395" t="s">
        <v>389</v>
      </c>
      <c r="AO395" t="s">
        <v>5505</v>
      </c>
      <c r="AP395" t="s">
        <v>5506</v>
      </c>
      <c r="AQ395" t="s">
        <v>74</v>
      </c>
      <c r="AR395" t="s">
        <v>5507</v>
      </c>
      <c r="AS395" t="s">
        <v>5508</v>
      </c>
      <c r="AT395" t="s">
        <v>5624</v>
      </c>
      <c r="AU395">
        <v>2002</v>
      </c>
      <c r="AV395">
        <v>107</v>
      </c>
      <c r="AW395" t="s">
        <v>5510</v>
      </c>
      <c r="AX395" t="s">
        <v>74</v>
      </c>
      <c r="AY395" t="s">
        <v>74</v>
      </c>
      <c r="AZ395" t="s">
        <v>74</v>
      </c>
      <c r="BA395" t="s">
        <v>74</v>
      </c>
      <c r="BB395" t="s">
        <v>74</v>
      </c>
      <c r="BC395" t="s">
        <v>74</v>
      </c>
      <c r="BD395">
        <v>2330</v>
      </c>
      <c r="BE395" t="s">
        <v>5625</v>
      </c>
      <c r="BF395" t="str">
        <f>HYPERLINK("http://dx.doi.org/10.1029/2002JB001857","http://dx.doi.org/10.1029/2002JB001857")</f>
        <v>http://dx.doi.org/10.1029/2002JB001857</v>
      </c>
      <c r="BG395" t="s">
        <v>74</v>
      </c>
      <c r="BH395" t="s">
        <v>74</v>
      </c>
      <c r="BI395">
        <v>12</v>
      </c>
      <c r="BJ395" t="s">
        <v>2068</v>
      </c>
      <c r="BK395" t="s">
        <v>569</v>
      </c>
      <c r="BL395" t="s">
        <v>2068</v>
      </c>
      <c r="BM395" t="s">
        <v>5626</v>
      </c>
      <c r="BN395" t="s">
        <v>74</v>
      </c>
      <c r="BO395" t="s">
        <v>74</v>
      </c>
      <c r="BP395" t="s">
        <v>74</v>
      </c>
      <c r="BQ395" t="s">
        <v>74</v>
      </c>
      <c r="BR395" t="s">
        <v>98</v>
      </c>
      <c r="BS395" t="s">
        <v>5627</v>
      </c>
      <c r="BT395" t="str">
        <f>HYPERLINK("https%3A%2F%2Fwww.webofscience.com%2Fwos%2Fwoscc%2Ffull-record%2FWOS:000181028000008","View Full Record in Web of Science")</f>
        <v>View Full Record in Web of Science</v>
      </c>
    </row>
    <row r="396" spans="1:72" x14ac:dyDescent="0.15">
      <c r="A396" t="s">
        <v>552</v>
      </c>
      <c r="B396" t="s">
        <v>5628</v>
      </c>
      <c r="C396" t="s">
        <v>74</v>
      </c>
      <c r="D396" t="s">
        <v>74</v>
      </c>
      <c r="E396" t="s">
        <v>74</v>
      </c>
      <c r="F396" t="s">
        <v>5628</v>
      </c>
      <c r="G396" t="s">
        <v>74</v>
      </c>
      <c r="H396" t="s">
        <v>74</v>
      </c>
      <c r="I396" t="s">
        <v>5629</v>
      </c>
      <c r="J396" t="s">
        <v>5091</v>
      </c>
      <c r="K396" t="s">
        <v>74</v>
      </c>
      <c r="L396" t="s">
        <v>74</v>
      </c>
      <c r="M396" t="s">
        <v>78</v>
      </c>
      <c r="N396" t="s">
        <v>775</v>
      </c>
      <c r="O396" t="s">
        <v>74</v>
      </c>
      <c r="P396" t="s">
        <v>74</v>
      </c>
      <c r="Q396" t="s">
        <v>74</v>
      </c>
      <c r="R396" t="s">
        <v>74</v>
      </c>
      <c r="S396" t="s">
        <v>74</v>
      </c>
      <c r="T396" t="s">
        <v>5630</v>
      </c>
      <c r="U396" t="s">
        <v>5631</v>
      </c>
      <c r="V396" t="s">
        <v>5632</v>
      </c>
      <c r="W396" t="s">
        <v>5633</v>
      </c>
      <c r="X396" t="s">
        <v>5634</v>
      </c>
      <c r="Y396" t="s">
        <v>489</v>
      </c>
      <c r="Z396" t="s">
        <v>5635</v>
      </c>
      <c r="AA396" t="s">
        <v>5636</v>
      </c>
      <c r="AB396" t="s">
        <v>5637</v>
      </c>
      <c r="AC396" t="s">
        <v>74</v>
      </c>
      <c r="AD396" t="s">
        <v>74</v>
      </c>
      <c r="AE396" t="s">
        <v>74</v>
      </c>
      <c r="AF396" t="s">
        <v>74</v>
      </c>
      <c r="AG396">
        <v>52</v>
      </c>
      <c r="AH396">
        <v>216</v>
      </c>
      <c r="AI396">
        <v>245</v>
      </c>
      <c r="AJ396">
        <v>4</v>
      </c>
      <c r="AK396">
        <v>39</v>
      </c>
      <c r="AL396" t="s">
        <v>387</v>
      </c>
      <c r="AM396" t="s">
        <v>388</v>
      </c>
      <c r="AN396" t="s">
        <v>389</v>
      </c>
      <c r="AO396" t="s">
        <v>5101</v>
      </c>
      <c r="AP396" t="s">
        <v>5188</v>
      </c>
      <c r="AQ396" t="s">
        <v>74</v>
      </c>
      <c r="AR396" t="s">
        <v>5102</v>
      </c>
      <c r="AS396" t="s">
        <v>5103</v>
      </c>
      <c r="AT396" t="s">
        <v>5638</v>
      </c>
      <c r="AU396">
        <v>2002</v>
      </c>
      <c r="AV396">
        <v>107</v>
      </c>
      <c r="AW396" t="s">
        <v>5475</v>
      </c>
      <c r="AX396" t="s">
        <v>74</v>
      </c>
      <c r="AY396" t="s">
        <v>74</v>
      </c>
      <c r="AZ396" t="s">
        <v>74</v>
      </c>
      <c r="BA396" t="s">
        <v>74</v>
      </c>
      <c r="BB396" t="s">
        <v>74</v>
      </c>
      <c r="BC396" t="s">
        <v>74</v>
      </c>
      <c r="BD396">
        <v>4683</v>
      </c>
      <c r="BE396" t="s">
        <v>5639</v>
      </c>
      <c r="BF396" t="str">
        <f>HYPERLINK("http://dx.doi.org/10.1029/2002JD002492","http://dx.doi.org/10.1029/2002JD002492")</f>
        <v>http://dx.doi.org/10.1029/2002JD002492</v>
      </c>
      <c r="BG396" t="s">
        <v>74</v>
      </c>
      <c r="BH396" t="s">
        <v>74</v>
      </c>
      <c r="BI396">
        <v>17</v>
      </c>
      <c r="BJ396" t="s">
        <v>1237</v>
      </c>
      <c r="BK396" t="s">
        <v>569</v>
      </c>
      <c r="BL396" t="s">
        <v>1237</v>
      </c>
      <c r="BM396" t="s">
        <v>5640</v>
      </c>
      <c r="BN396" t="s">
        <v>74</v>
      </c>
      <c r="BO396" t="s">
        <v>572</v>
      </c>
      <c r="BP396" t="s">
        <v>74</v>
      </c>
      <c r="BQ396" t="s">
        <v>74</v>
      </c>
      <c r="BR396" t="s">
        <v>98</v>
      </c>
      <c r="BS396" t="s">
        <v>5641</v>
      </c>
      <c r="BT396" t="str">
        <f>HYPERLINK("https%3A%2F%2Fwww.webofscience.com%2Fwos%2Fwoscc%2Ffull-record%2FWOS:000181055000004","View Full Record in Web of Science")</f>
        <v>View Full Record in Web of Science</v>
      </c>
    </row>
    <row r="397" spans="1:72" x14ac:dyDescent="0.15">
      <c r="A397" t="s">
        <v>552</v>
      </c>
      <c r="B397" t="s">
        <v>5642</v>
      </c>
      <c r="C397" t="s">
        <v>74</v>
      </c>
      <c r="D397" t="s">
        <v>74</v>
      </c>
      <c r="E397" t="s">
        <v>74</v>
      </c>
      <c r="F397" t="s">
        <v>5642</v>
      </c>
      <c r="G397" t="s">
        <v>74</v>
      </c>
      <c r="H397" t="s">
        <v>74</v>
      </c>
      <c r="I397" t="s">
        <v>5643</v>
      </c>
      <c r="J397" t="s">
        <v>5091</v>
      </c>
      <c r="K397" t="s">
        <v>74</v>
      </c>
      <c r="L397" t="s">
        <v>74</v>
      </c>
      <c r="M397" t="s">
        <v>78</v>
      </c>
      <c r="N397" t="s">
        <v>775</v>
      </c>
      <c r="O397" t="s">
        <v>74</v>
      </c>
      <c r="P397" t="s">
        <v>74</v>
      </c>
      <c r="Q397" t="s">
        <v>74</v>
      </c>
      <c r="R397" t="s">
        <v>74</v>
      </c>
      <c r="S397" t="s">
        <v>74</v>
      </c>
      <c r="T397" t="s">
        <v>5644</v>
      </c>
      <c r="U397" t="s">
        <v>5645</v>
      </c>
      <c r="V397" t="s">
        <v>5646</v>
      </c>
      <c r="W397" t="s">
        <v>5647</v>
      </c>
      <c r="X397" t="s">
        <v>5648</v>
      </c>
      <c r="Y397" t="s">
        <v>1434</v>
      </c>
      <c r="Z397" t="s">
        <v>5649</v>
      </c>
      <c r="AA397" t="s">
        <v>74</v>
      </c>
      <c r="AB397" t="s">
        <v>74</v>
      </c>
      <c r="AC397" t="s">
        <v>74</v>
      </c>
      <c r="AD397" t="s">
        <v>74</v>
      </c>
      <c r="AE397" t="s">
        <v>74</v>
      </c>
      <c r="AF397" t="s">
        <v>74</v>
      </c>
      <c r="AG397">
        <v>60</v>
      </c>
      <c r="AH397">
        <v>107</v>
      </c>
      <c r="AI397">
        <v>114</v>
      </c>
      <c r="AJ397">
        <v>0</v>
      </c>
      <c r="AK397">
        <v>28</v>
      </c>
      <c r="AL397" t="s">
        <v>387</v>
      </c>
      <c r="AM397" t="s">
        <v>388</v>
      </c>
      <c r="AN397" t="s">
        <v>389</v>
      </c>
      <c r="AO397" t="s">
        <v>5101</v>
      </c>
      <c r="AP397" t="s">
        <v>5188</v>
      </c>
      <c r="AQ397" t="s">
        <v>74</v>
      </c>
      <c r="AR397" t="s">
        <v>5102</v>
      </c>
      <c r="AS397" t="s">
        <v>5103</v>
      </c>
      <c r="AT397" t="s">
        <v>5650</v>
      </c>
      <c r="AU397">
        <v>2002</v>
      </c>
      <c r="AV397">
        <v>107</v>
      </c>
      <c r="AW397" t="s">
        <v>5475</v>
      </c>
      <c r="AX397" t="s">
        <v>74</v>
      </c>
      <c r="AY397" t="s">
        <v>74</v>
      </c>
      <c r="AZ397" t="s">
        <v>74</v>
      </c>
      <c r="BA397" t="s">
        <v>74</v>
      </c>
      <c r="BB397" t="s">
        <v>74</v>
      </c>
      <c r="BC397" t="s">
        <v>74</v>
      </c>
      <c r="BD397">
        <v>4679</v>
      </c>
      <c r="BE397" t="s">
        <v>5651</v>
      </c>
      <c r="BF397" t="str">
        <f>HYPERLINK("http://dx.doi.org/10.1029/2001JD001251","http://dx.doi.org/10.1029/2001JD001251")</f>
        <v>http://dx.doi.org/10.1029/2001JD001251</v>
      </c>
      <c r="BG397" t="s">
        <v>74</v>
      </c>
      <c r="BH397" t="s">
        <v>74</v>
      </c>
      <c r="BI397">
        <v>17</v>
      </c>
      <c r="BJ397" t="s">
        <v>1237</v>
      </c>
      <c r="BK397" t="s">
        <v>569</v>
      </c>
      <c r="BL397" t="s">
        <v>1237</v>
      </c>
      <c r="BM397" t="s">
        <v>5652</v>
      </c>
      <c r="BN397" t="s">
        <v>74</v>
      </c>
      <c r="BO397" t="s">
        <v>74</v>
      </c>
      <c r="BP397" t="s">
        <v>74</v>
      </c>
      <c r="BQ397" t="s">
        <v>74</v>
      </c>
      <c r="BR397" t="s">
        <v>98</v>
      </c>
      <c r="BS397" t="s">
        <v>5653</v>
      </c>
      <c r="BT397" t="str">
        <f>HYPERLINK("https%3A%2F%2Fwww.webofscience.com%2Fwos%2Fwoscc%2Ffull-record%2FWOS:000181054600003","View Full Record in Web of Science")</f>
        <v>View Full Record in Web of Science</v>
      </c>
    </row>
    <row r="398" spans="1:72" x14ac:dyDescent="0.15">
      <c r="A398" t="s">
        <v>552</v>
      </c>
      <c r="B398" t="s">
        <v>5654</v>
      </c>
      <c r="C398" t="s">
        <v>74</v>
      </c>
      <c r="D398" t="s">
        <v>74</v>
      </c>
      <c r="E398" t="s">
        <v>74</v>
      </c>
      <c r="F398" t="s">
        <v>5654</v>
      </c>
      <c r="G398" t="s">
        <v>74</v>
      </c>
      <c r="H398" t="s">
        <v>74</v>
      </c>
      <c r="I398" t="s">
        <v>5655</v>
      </c>
      <c r="J398" t="s">
        <v>5091</v>
      </c>
      <c r="K398" t="s">
        <v>74</v>
      </c>
      <c r="L398" t="s">
        <v>74</v>
      </c>
      <c r="M398" t="s">
        <v>78</v>
      </c>
      <c r="N398" t="s">
        <v>775</v>
      </c>
      <c r="O398" t="s">
        <v>74</v>
      </c>
      <c r="P398" t="s">
        <v>74</v>
      </c>
      <c r="Q398" t="s">
        <v>74</v>
      </c>
      <c r="R398" t="s">
        <v>74</v>
      </c>
      <c r="S398" t="s">
        <v>74</v>
      </c>
      <c r="T398" t="s">
        <v>5656</v>
      </c>
      <c r="U398" t="s">
        <v>5657</v>
      </c>
      <c r="V398" t="s">
        <v>5658</v>
      </c>
      <c r="W398" t="s">
        <v>5659</v>
      </c>
      <c r="X398" t="s">
        <v>5660</v>
      </c>
      <c r="Y398" t="s">
        <v>5661</v>
      </c>
      <c r="Z398" t="s">
        <v>5662</v>
      </c>
      <c r="AA398" t="s">
        <v>74</v>
      </c>
      <c r="AB398" t="s">
        <v>74</v>
      </c>
      <c r="AC398" t="s">
        <v>74</v>
      </c>
      <c r="AD398" t="s">
        <v>74</v>
      </c>
      <c r="AE398" t="s">
        <v>74</v>
      </c>
      <c r="AF398" t="s">
        <v>74</v>
      </c>
      <c r="AG398">
        <v>48</v>
      </c>
      <c r="AH398">
        <v>33</v>
      </c>
      <c r="AI398">
        <v>36</v>
      </c>
      <c r="AJ398">
        <v>1</v>
      </c>
      <c r="AK398">
        <v>14</v>
      </c>
      <c r="AL398" t="s">
        <v>387</v>
      </c>
      <c r="AM398" t="s">
        <v>388</v>
      </c>
      <c r="AN398" t="s">
        <v>389</v>
      </c>
      <c r="AO398" t="s">
        <v>5101</v>
      </c>
      <c r="AP398" t="s">
        <v>74</v>
      </c>
      <c r="AQ398" t="s">
        <v>74</v>
      </c>
      <c r="AR398" t="s">
        <v>5102</v>
      </c>
      <c r="AS398" t="s">
        <v>5103</v>
      </c>
      <c r="AT398" t="s">
        <v>5650</v>
      </c>
      <c r="AU398">
        <v>2002</v>
      </c>
      <c r="AV398">
        <v>107</v>
      </c>
      <c r="AW398" t="s">
        <v>5475</v>
      </c>
      <c r="AX398" t="s">
        <v>74</v>
      </c>
      <c r="AY398" t="s">
        <v>74</v>
      </c>
      <c r="AZ398" t="s">
        <v>74</v>
      </c>
      <c r="BA398" t="s">
        <v>74</v>
      </c>
      <c r="BB398" t="s">
        <v>74</v>
      </c>
      <c r="BC398" t="s">
        <v>74</v>
      </c>
      <c r="BD398">
        <v>4673</v>
      </c>
      <c r="BE398" t="s">
        <v>5663</v>
      </c>
      <c r="BF398" t="str">
        <f>HYPERLINK("http://dx.doi.org/10.1029/2002JD002495","http://dx.doi.org/10.1029/2002JD002495")</f>
        <v>http://dx.doi.org/10.1029/2002JD002495</v>
      </c>
      <c r="BG398" t="s">
        <v>74</v>
      </c>
      <c r="BH398" t="s">
        <v>74</v>
      </c>
      <c r="BI398">
        <v>11</v>
      </c>
      <c r="BJ398" t="s">
        <v>1237</v>
      </c>
      <c r="BK398" t="s">
        <v>569</v>
      </c>
      <c r="BL398" t="s">
        <v>1237</v>
      </c>
      <c r="BM398" t="s">
        <v>5652</v>
      </c>
      <c r="BN398" t="s">
        <v>74</v>
      </c>
      <c r="BO398" t="s">
        <v>3298</v>
      </c>
      <c r="BP398" t="s">
        <v>74</v>
      </c>
      <c r="BQ398" t="s">
        <v>74</v>
      </c>
      <c r="BR398" t="s">
        <v>98</v>
      </c>
      <c r="BS398" t="s">
        <v>5664</v>
      </c>
      <c r="BT398" t="str">
        <f>HYPERLINK("https%3A%2F%2Fwww.webofscience.com%2Fwos%2Fwoscc%2Ffull-record%2FWOS:000181054600012","View Full Record in Web of Science")</f>
        <v>View Full Record in Web of Science</v>
      </c>
    </row>
    <row r="399" spans="1:72" x14ac:dyDescent="0.15">
      <c r="A399" t="s">
        <v>552</v>
      </c>
      <c r="B399" t="s">
        <v>5665</v>
      </c>
      <c r="C399" t="s">
        <v>74</v>
      </c>
      <c r="D399" t="s">
        <v>74</v>
      </c>
      <c r="E399" t="s">
        <v>74</v>
      </c>
      <c r="F399" t="s">
        <v>5665</v>
      </c>
      <c r="G399" t="s">
        <v>74</v>
      </c>
      <c r="H399" t="s">
        <v>74</v>
      </c>
      <c r="I399" t="s">
        <v>5666</v>
      </c>
      <c r="J399" t="s">
        <v>5223</v>
      </c>
      <c r="K399" t="s">
        <v>74</v>
      </c>
      <c r="L399" t="s">
        <v>74</v>
      </c>
      <c r="M399" t="s">
        <v>78</v>
      </c>
      <c r="N399" t="s">
        <v>775</v>
      </c>
      <c r="O399" t="s">
        <v>74</v>
      </c>
      <c r="P399" t="s">
        <v>74</v>
      </c>
      <c r="Q399" t="s">
        <v>74</v>
      </c>
      <c r="R399" t="s">
        <v>74</v>
      </c>
      <c r="S399" t="s">
        <v>74</v>
      </c>
      <c r="T399" t="s">
        <v>5667</v>
      </c>
      <c r="U399" t="s">
        <v>5668</v>
      </c>
      <c r="V399" t="s">
        <v>5669</v>
      </c>
      <c r="W399" t="s">
        <v>5670</v>
      </c>
      <c r="X399" t="s">
        <v>5671</v>
      </c>
      <c r="Y399" t="s">
        <v>240</v>
      </c>
      <c r="Z399" t="s">
        <v>5672</v>
      </c>
      <c r="AA399" t="s">
        <v>5673</v>
      </c>
      <c r="AB399" t="s">
        <v>5674</v>
      </c>
      <c r="AC399" t="s">
        <v>74</v>
      </c>
      <c r="AD399" t="s">
        <v>74</v>
      </c>
      <c r="AE399" t="s">
        <v>74</v>
      </c>
      <c r="AF399" t="s">
        <v>74</v>
      </c>
      <c r="AG399">
        <v>22</v>
      </c>
      <c r="AH399">
        <v>6</v>
      </c>
      <c r="AI399">
        <v>7</v>
      </c>
      <c r="AJ399">
        <v>0</v>
      </c>
      <c r="AK399">
        <v>1</v>
      </c>
      <c r="AL399" t="s">
        <v>387</v>
      </c>
      <c r="AM399" t="s">
        <v>388</v>
      </c>
      <c r="AN399" t="s">
        <v>389</v>
      </c>
      <c r="AO399" t="s">
        <v>5231</v>
      </c>
      <c r="AP399" t="s">
        <v>5232</v>
      </c>
      <c r="AQ399" t="s">
        <v>74</v>
      </c>
      <c r="AR399" t="s">
        <v>5233</v>
      </c>
      <c r="AS399" t="s">
        <v>5234</v>
      </c>
      <c r="AT399" t="s">
        <v>5650</v>
      </c>
      <c r="AU399">
        <v>2002</v>
      </c>
      <c r="AV399">
        <v>107</v>
      </c>
      <c r="AW399" t="s">
        <v>5235</v>
      </c>
      <c r="AX399" t="s">
        <v>74</v>
      </c>
      <c r="AY399" t="s">
        <v>74</v>
      </c>
      <c r="AZ399" t="s">
        <v>74</v>
      </c>
      <c r="BA399" t="s">
        <v>74</v>
      </c>
      <c r="BB399" t="s">
        <v>74</v>
      </c>
      <c r="BC399" t="s">
        <v>74</v>
      </c>
      <c r="BD399">
        <v>1416</v>
      </c>
      <c r="BE399" t="s">
        <v>5675</v>
      </c>
      <c r="BF399" t="str">
        <f>HYPERLINK("http://dx.doi.org/10.1029/2001JA005090","http://dx.doi.org/10.1029/2001JA005090")</f>
        <v>http://dx.doi.org/10.1029/2001JA005090</v>
      </c>
      <c r="BG399" t="s">
        <v>74</v>
      </c>
      <c r="BH399" t="s">
        <v>74</v>
      </c>
      <c r="BI399">
        <v>9</v>
      </c>
      <c r="BJ399" t="s">
        <v>4840</v>
      </c>
      <c r="BK399" t="s">
        <v>569</v>
      </c>
      <c r="BL399" t="s">
        <v>4840</v>
      </c>
      <c r="BM399" t="s">
        <v>5676</v>
      </c>
      <c r="BN399" t="s">
        <v>74</v>
      </c>
      <c r="BO399" t="s">
        <v>3510</v>
      </c>
      <c r="BP399" t="s">
        <v>74</v>
      </c>
      <c r="BQ399" t="s">
        <v>74</v>
      </c>
      <c r="BR399" t="s">
        <v>98</v>
      </c>
      <c r="BS399" t="s">
        <v>5677</v>
      </c>
      <c r="BT399" t="str">
        <f>HYPERLINK("https%3A%2F%2Fwww.webofscience.com%2Fwos%2Fwoscc%2Ffull-record%2FWOS:000181026100001","View Full Record in Web of Science")</f>
        <v>View Full Record in Web of Science</v>
      </c>
    </row>
    <row r="400" spans="1:72" x14ac:dyDescent="0.15">
      <c r="A400" t="s">
        <v>552</v>
      </c>
      <c r="B400" t="s">
        <v>5678</v>
      </c>
      <c r="C400" t="s">
        <v>74</v>
      </c>
      <c r="D400" t="s">
        <v>74</v>
      </c>
      <c r="E400" t="s">
        <v>74</v>
      </c>
      <c r="F400" t="s">
        <v>5678</v>
      </c>
      <c r="G400" t="s">
        <v>74</v>
      </c>
      <c r="H400" t="s">
        <v>74</v>
      </c>
      <c r="I400" t="s">
        <v>5679</v>
      </c>
      <c r="J400" t="s">
        <v>5223</v>
      </c>
      <c r="K400" t="s">
        <v>74</v>
      </c>
      <c r="L400" t="s">
        <v>74</v>
      </c>
      <c r="M400" t="s">
        <v>78</v>
      </c>
      <c r="N400" t="s">
        <v>775</v>
      </c>
      <c r="O400" t="s">
        <v>74</v>
      </c>
      <c r="P400" t="s">
        <v>74</v>
      </c>
      <c r="Q400" t="s">
        <v>74</v>
      </c>
      <c r="R400" t="s">
        <v>74</v>
      </c>
      <c r="S400" t="s">
        <v>74</v>
      </c>
      <c r="T400" t="s">
        <v>5680</v>
      </c>
      <c r="U400" t="s">
        <v>5681</v>
      </c>
      <c r="V400" t="s">
        <v>5682</v>
      </c>
      <c r="W400" t="s">
        <v>5683</v>
      </c>
      <c r="X400" t="s">
        <v>5684</v>
      </c>
      <c r="Y400" t="s">
        <v>781</v>
      </c>
      <c r="Z400" t="s">
        <v>5685</v>
      </c>
      <c r="AA400" t="s">
        <v>74</v>
      </c>
      <c r="AB400" t="s">
        <v>74</v>
      </c>
      <c r="AC400" t="s">
        <v>74</v>
      </c>
      <c r="AD400" t="s">
        <v>74</v>
      </c>
      <c r="AE400" t="s">
        <v>74</v>
      </c>
      <c r="AF400" t="s">
        <v>74</v>
      </c>
      <c r="AG400">
        <v>34</v>
      </c>
      <c r="AH400">
        <v>39</v>
      </c>
      <c r="AI400">
        <v>40</v>
      </c>
      <c r="AJ400">
        <v>1</v>
      </c>
      <c r="AK400">
        <v>3</v>
      </c>
      <c r="AL400" t="s">
        <v>387</v>
      </c>
      <c r="AM400" t="s">
        <v>388</v>
      </c>
      <c r="AN400" t="s">
        <v>389</v>
      </c>
      <c r="AO400" t="s">
        <v>5231</v>
      </c>
      <c r="AP400" t="s">
        <v>5232</v>
      </c>
      <c r="AQ400" t="s">
        <v>74</v>
      </c>
      <c r="AR400" t="s">
        <v>5233</v>
      </c>
      <c r="AS400" t="s">
        <v>5234</v>
      </c>
      <c r="AT400" t="s">
        <v>5650</v>
      </c>
      <c r="AU400">
        <v>2002</v>
      </c>
      <c r="AV400">
        <v>107</v>
      </c>
      <c r="AW400" t="s">
        <v>5235</v>
      </c>
      <c r="AX400" t="s">
        <v>74</v>
      </c>
      <c r="AY400" t="s">
        <v>74</v>
      </c>
      <c r="AZ400" t="s">
        <v>74</v>
      </c>
      <c r="BA400" t="s">
        <v>74</v>
      </c>
      <c r="BB400" t="s">
        <v>74</v>
      </c>
      <c r="BC400" t="s">
        <v>74</v>
      </c>
      <c r="BD400">
        <v>1418</v>
      </c>
      <c r="BE400" t="s">
        <v>5686</v>
      </c>
      <c r="BF400" t="str">
        <f>HYPERLINK("http://dx.doi.org/10.1029/2002JA009370","http://dx.doi.org/10.1029/2002JA009370")</f>
        <v>http://dx.doi.org/10.1029/2002JA009370</v>
      </c>
      <c r="BG400" t="s">
        <v>74</v>
      </c>
      <c r="BH400" t="s">
        <v>74</v>
      </c>
      <c r="BI400">
        <v>23</v>
      </c>
      <c r="BJ400" t="s">
        <v>4840</v>
      </c>
      <c r="BK400" t="s">
        <v>569</v>
      </c>
      <c r="BL400" t="s">
        <v>4840</v>
      </c>
      <c r="BM400" t="s">
        <v>5676</v>
      </c>
      <c r="BN400" t="s">
        <v>74</v>
      </c>
      <c r="BO400" t="s">
        <v>572</v>
      </c>
      <c r="BP400" t="s">
        <v>74</v>
      </c>
      <c r="BQ400" t="s">
        <v>74</v>
      </c>
      <c r="BR400" t="s">
        <v>98</v>
      </c>
      <c r="BS400" t="s">
        <v>5687</v>
      </c>
      <c r="BT400" t="str">
        <f>HYPERLINK("https%3A%2F%2Fwww.webofscience.com%2Fwos%2Fwoscc%2Ffull-record%2FWOS:000181026100003","View Full Record in Web of Science")</f>
        <v>View Full Record in Web of Science</v>
      </c>
    </row>
    <row r="401" spans="1:72" x14ac:dyDescent="0.15">
      <c r="A401" t="s">
        <v>552</v>
      </c>
      <c r="B401" t="s">
        <v>5688</v>
      </c>
      <c r="C401" t="s">
        <v>74</v>
      </c>
      <c r="D401" t="s">
        <v>74</v>
      </c>
      <c r="E401" t="s">
        <v>74</v>
      </c>
      <c r="F401" t="s">
        <v>5688</v>
      </c>
      <c r="G401" t="s">
        <v>74</v>
      </c>
      <c r="H401" t="s">
        <v>74</v>
      </c>
      <c r="I401" t="s">
        <v>5689</v>
      </c>
      <c r="J401" t="s">
        <v>5690</v>
      </c>
      <c r="K401" t="s">
        <v>74</v>
      </c>
      <c r="L401" t="s">
        <v>74</v>
      </c>
      <c r="M401" t="s">
        <v>78</v>
      </c>
      <c r="N401" t="s">
        <v>775</v>
      </c>
      <c r="O401" t="s">
        <v>74</v>
      </c>
      <c r="P401" t="s">
        <v>74</v>
      </c>
      <c r="Q401" t="s">
        <v>74</v>
      </c>
      <c r="R401" t="s">
        <v>74</v>
      </c>
      <c r="S401" t="s">
        <v>74</v>
      </c>
      <c r="T401" t="s">
        <v>5691</v>
      </c>
      <c r="U401" t="s">
        <v>5692</v>
      </c>
      <c r="V401" t="s">
        <v>5693</v>
      </c>
      <c r="W401" t="s">
        <v>5694</v>
      </c>
      <c r="X401" t="s">
        <v>5695</v>
      </c>
      <c r="Y401" t="s">
        <v>5696</v>
      </c>
      <c r="Z401" t="s">
        <v>5697</v>
      </c>
      <c r="AA401" t="s">
        <v>5698</v>
      </c>
      <c r="AB401" t="s">
        <v>5699</v>
      </c>
      <c r="AC401" t="s">
        <v>74</v>
      </c>
      <c r="AD401" t="s">
        <v>74</v>
      </c>
      <c r="AE401" t="s">
        <v>74</v>
      </c>
      <c r="AF401" t="s">
        <v>74</v>
      </c>
      <c r="AG401">
        <v>48</v>
      </c>
      <c r="AH401">
        <v>28</v>
      </c>
      <c r="AI401">
        <v>37</v>
      </c>
      <c r="AJ401">
        <v>2</v>
      </c>
      <c r="AK401">
        <v>21</v>
      </c>
      <c r="AL401" t="s">
        <v>3155</v>
      </c>
      <c r="AM401" t="s">
        <v>1861</v>
      </c>
      <c r="AN401" t="s">
        <v>3156</v>
      </c>
      <c r="AO401" t="s">
        <v>5700</v>
      </c>
      <c r="AP401" t="s">
        <v>5701</v>
      </c>
      <c r="AQ401" t="s">
        <v>74</v>
      </c>
      <c r="AR401" t="s">
        <v>5702</v>
      </c>
      <c r="AS401" t="s">
        <v>5703</v>
      </c>
      <c r="AT401" t="s">
        <v>5704</v>
      </c>
      <c r="AU401">
        <v>2002</v>
      </c>
      <c r="AV401">
        <v>300</v>
      </c>
      <c r="AW401" t="s">
        <v>5705</v>
      </c>
      <c r="AX401" t="s">
        <v>74</v>
      </c>
      <c r="AY401" t="s">
        <v>74</v>
      </c>
      <c r="AZ401" t="s">
        <v>74</v>
      </c>
      <c r="BA401" t="s">
        <v>74</v>
      </c>
      <c r="BB401">
        <v>129</v>
      </c>
      <c r="BC401">
        <v>142</v>
      </c>
      <c r="BD401" t="s">
        <v>5706</v>
      </c>
      <c r="BE401" t="s">
        <v>5707</v>
      </c>
      <c r="BF401" t="str">
        <f>HYPERLINK("http://dx.doi.org/10.1016/S0048-9697(02)00277-2","http://dx.doi.org/10.1016/S0048-9697(02)00277-2")</f>
        <v>http://dx.doi.org/10.1016/S0048-9697(02)00277-2</v>
      </c>
      <c r="BG401" t="s">
        <v>74</v>
      </c>
      <c r="BH401" t="s">
        <v>74</v>
      </c>
      <c r="BI401">
        <v>14</v>
      </c>
      <c r="BJ401" t="s">
        <v>1194</v>
      </c>
      <c r="BK401" t="s">
        <v>569</v>
      </c>
      <c r="BL401" t="s">
        <v>1195</v>
      </c>
      <c r="BM401" t="s">
        <v>5708</v>
      </c>
      <c r="BN401">
        <v>12685477</v>
      </c>
      <c r="BO401" t="s">
        <v>74</v>
      </c>
      <c r="BP401" t="s">
        <v>74</v>
      </c>
      <c r="BQ401" t="s">
        <v>74</v>
      </c>
      <c r="BR401" t="s">
        <v>98</v>
      </c>
      <c r="BS401" t="s">
        <v>5709</v>
      </c>
      <c r="BT401" t="str">
        <f>HYPERLINK("https%3A%2F%2Fwww.webofscience.com%2Fwos%2Fwoscc%2Ffull-record%2FWOS:000180003900012","View Full Record in Web of Science")</f>
        <v>View Full Record in Web of Science</v>
      </c>
    </row>
    <row r="402" spans="1:72" x14ac:dyDescent="0.15">
      <c r="A402" t="s">
        <v>552</v>
      </c>
      <c r="B402" t="s">
        <v>5710</v>
      </c>
      <c r="C402" t="s">
        <v>74</v>
      </c>
      <c r="D402" t="s">
        <v>74</v>
      </c>
      <c r="E402" t="s">
        <v>74</v>
      </c>
      <c r="F402" t="s">
        <v>5710</v>
      </c>
      <c r="G402" t="s">
        <v>74</v>
      </c>
      <c r="H402" t="s">
        <v>74</v>
      </c>
      <c r="I402" t="s">
        <v>5711</v>
      </c>
      <c r="J402" t="s">
        <v>5712</v>
      </c>
      <c r="K402" t="s">
        <v>74</v>
      </c>
      <c r="L402" t="s">
        <v>74</v>
      </c>
      <c r="M402" t="s">
        <v>78</v>
      </c>
      <c r="N402" t="s">
        <v>576</v>
      </c>
      <c r="O402" t="s">
        <v>5713</v>
      </c>
      <c r="P402" t="s">
        <v>5714</v>
      </c>
      <c r="Q402" t="s">
        <v>5715</v>
      </c>
      <c r="R402" t="s">
        <v>74</v>
      </c>
      <c r="S402" t="s">
        <v>74</v>
      </c>
      <c r="T402" t="s">
        <v>5716</v>
      </c>
      <c r="U402" t="s">
        <v>5717</v>
      </c>
      <c r="V402" t="s">
        <v>5718</v>
      </c>
      <c r="W402" t="s">
        <v>5719</v>
      </c>
      <c r="X402" t="s">
        <v>5720</v>
      </c>
      <c r="Y402" t="s">
        <v>5721</v>
      </c>
      <c r="Z402" t="s">
        <v>74</v>
      </c>
      <c r="AA402" t="s">
        <v>74</v>
      </c>
      <c r="AB402" t="s">
        <v>74</v>
      </c>
      <c r="AC402" t="s">
        <v>74</v>
      </c>
      <c r="AD402" t="s">
        <v>74</v>
      </c>
      <c r="AE402" t="s">
        <v>74</v>
      </c>
      <c r="AF402" t="s">
        <v>74</v>
      </c>
      <c r="AG402">
        <v>16</v>
      </c>
      <c r="AH402">
        <v>70</v>
      </c>
      <c r="AI402">
        <v>73</v>
      </c>
      <c r="AJ402">
        <v>0</v>
      </c>
      <c r="AK402">
        <v>16</v>
      </c>
      <c r="AL402" t="s">
        <v>806</v>
      </c>
      <c r="AM402" t="s">
        <v>807</v>
      </c>
      <c r="AN402" t="s">
        <v>808</v>
      </c>
      <c r="AO402" t="s">
        <v>5722</v>
      </c>
      <c r="AP402" t="s">
        <v>74</v>
      </c>
      <c r="AQ402" t="s">
        <v>74</v>
      </c>
      <c r="AR402" t="s">
        <v>5723</v>
      </c>
      <c r="AS402" t="s">
        <v>5724</v>
      </c>
      <c r="AT402" t="s">
        <v>5704</v>
      </c>
      <c r="AU402">
        <v>2002</v>
      </c>
      <c r="AV402">
        <v>57</v>
      </c>
      <c r="AW402">
        <v>12</v>
      </c>
      <c r="AX402" t="s">
        <v>74</v>
      </c>
      <c r="AY402" t="s">
        <v>74</v>
      </c>
      <c r="AZ402" t="s">
        <v>74</v>
      </c>
      <c r="BA402" t="s">
        <v>74</v>
      </c>
      <c r="BB402">
        <v>2133</v>
      </c>
      <c r="BC402">
        <v>2140</v>
      </c>
      <c r="BD402" t="s">
        <v>5725</v>
      </c>
      <c r="BE402" t="s">
        <v>5726</v>
      </c>
      <c r="BF402" t="str">
        <f>HYPERLINK("http://dx.doi.org/10.1016/S0584-8547(02)00183-0","http://dx.doi.org/10.1016/S0584-8547(02)00183-0")</f>
        <v>http://dx.doi.org/10.1016/S0584-8547(02)00183-0</v>
      </c>
      <c r="BG402" t="s">
        <v>74</v>
      </c>
      <c r="BH402" t="s">
        <v>74</v>
      </c>
      <c r="BI402">
        <v>8</v>
      </c>
      <c r="BJ402" t="s">
        <v>5727</v>
      </c>
      <c r="BK402" t="s">
        <v>589</v>
      </c>
      <c r="BL402" t="s">
        <v>5727</v>
      </c>
      <c r="BM402" t="s">
        <v>5728</v>
      </c>
      <c r="BN402" t="s">
        <v>74</v>
      </c>
      <c r="BO402" t="s">
        <v>74</v>
      </c>
      <c r="BP402" t="s">
        <v>74</v>
      </c>
      <c r="BQ402" t="s">
        <v>74</v>
      </c>
      <c r="BR402" t="s">
        <v>98</v>
      </c>
      <c r="BS402" t="s">
        <v>5729</v>
      </c>
      <c r="BT402" t="str">
        <f>HYPERLINK("https%3A%2F%2Fwww.webofscience.com%2Fwos%2Fwoscc%2Ffull-record%2FWOS:000180206700028","View Full Record in Web of Science")</f>
        <v>View Full Record in Web of Science</v>
      </c>
    </row>
    <row r="403" spans="1:72" x14ac:dyDescent="0.15">
      <c r="A403" t="s">
        <v>552</v>
      </c>
      <c r="B403" t="s">
        <v>5730</v>
      </c>
      <c r="C403" t="s">
        <v>74</v>
      </c>
      <c r="D403" t="s">
        <v>74</v>
      </c>
      <c r="E403" t="s">
        <v>74</v>
      </c>
      <c r="F403" t="s">
        <v>5730</v>
      </c>
      <c r="G403" t="s">
        <v>74</v>
      </c>
      <c r="H403" t="s">
        <v>74</v>
      </c>
      <c r="I403" t="s">
        <v>5731</v>
      </c>
      <c r="J403" t="s">
        <v>5732</v>
      </c>
      <c r="K403" t="s">
        <v>74</v>
      </c>
      <c r="L403" t="s">
        <v>74</v>
      </c>
      <c r="M403" t="s">
        <v>78</v>
      </c>
      <c r="N403" t="s">
        <v>775</v>
      </c>
      <c r="O403" t="s">
        <v>74</v>
      </c>
      <c r="P403" t="s">
        <v>74</v>
      </c>
      <c r="Q403" t="s">
        <v>74</v>
      </c>
      <c r="R403" t="s">
        <v>74</v>
      </c>
      <c r="S403" t="s">
        <v>74</v>
      </c>
      <c r="T403" t="s">
        <v>5733</v>
      </c>
      <c r="U403" t="s">
        <v>5734</v>
      </c>
      <c r="V403" t="s">
        <v>5735</v>
      </c>
      <c r="W403" t="s">
        <v>5736</v>
      </c>
      <c r="X403" t="s">
        <v>3878</v>
      </c>
      <c r="Y403" t="s">
        <v>5737</v>
      </c>
      <c r="Z403" t="s">
        <v>74</v>
      </c>
      <c r="AA403" t="s">
        <v>74</v>
      </c>
      <c r="AB403" t="s">
        <v>74</v>
      </c>
      <c r="AC403" t="s">
        <v>74</v>
      </c>
      <c r="AD403" t="s">
        <v>74</v>
      </c>
      <c r="AE403" t="s">
        <v>74</v>
      </c>
      <c r="AF403" t="s">
        <v>74</v>
      </c>
      <c r="AG403">
        <v>14</v>
      </c>
      <c r="AH403">
        <v>10</v>
      </c>
      <c r="AI403">
        <v>12</v>
      </c>
      <c r="AJ403">
        <v>0</v>
      </c>
      <c r="AK403">
        <v>5</v>
      </c>
      <c r="AL403" t="s">
        <v>5738</v>
      </c>
      <c r="AM403" t="s">
        <v>5739</v>
      </c>
      <c r="AN403" t="s">
        <v>5740</v>
      </c>
      <c r="AO403" t="s">
        <v>5741</v>
      </c>
      <c r="AP403" t="s">
        <v>74</v>
      </c>
      <c r="AQ403" t="s">
        <v>74</v>
      </c>
      <c r="AR403" t="s">
        <v>5742</v>
      </c>
      <c r="AS403" t="s">
        <v>5743</v>
      </c>
      <c r="AT403" t="s">
        <v>5744</v>
      </c>
      <c r="AU403">
        <v>2002</v>
      </c>
      <c r="AV403">
        <v>47</v>
      </c>
      <c r="AW403">
        <v>4</v>
      </c>
      <c r="AX403" t="s">
        <v>74</v>
      </c>
      <c r="AY403" t="s">
        <v>74</v>
      </c>
      <c r="AZ403" t="s">
        <v>74</v>
      </c>
      <c r="BA403" t="s">
        <v>74</v>
      </c>
      <c r="BB403">
        <v>294</v>
      </c>
      <c r="BC403">
        <v>299</v>
      </c>
      <c r="BD403" t="s">
        <v>74</v>
      </c>
      <c r="BE403" t="s">
        <v>74</v>
      </c>
      <c r="BF403" t="s">
        <v>74</v>
      </c>
      <c r="BG403" t="s">
        <v>74</v>
      </c>
      <c r="BH403" t="s">
        <v>74</v>
      </c>
      <c r="BI403">
        <v>6</v>
      </c>
      <c r="BJ403" t="s">
        <v>5745</v>
      </c>
      <c r="BK403" t="s">
        <v>569</v>
      </c>
      <c r="BL403" t="s">
        <v>5745</v>
      </c>
      <c r="BM403" t="s">
        <v>5746</v>
      </c>
      <c r="BN403" t="s">
        <v>74</v>
      </c>
      <c r="BO403" t="s">
        <v>74</v>
      </c>
      <c r="BP403" t="s">
        <v>74</v>
      </c>
      <c r="BQ403" t="s">
        <v>74</v>
      </c>
      <c r="BR403" t="s">
        <v>98</v>
      </c>
      <c r="BS403" t="s">
        <v>5747</v>
      </c>
      <c r="BT403" t="str">
        <f>HYPERLINK("https%3A%2F%2Fwww.webofscience.com%2Fwos%2Fwoscc%2Ffull-record%2FWOS:000180367900005","View Full Record in Web of Science")</f>
        <v>View Full Record in Web of Science</v>
      </c>
    </row>
    <row r="404" spans="1:72" x14ac:dyDescent="0.15">
      <c r="A404" t="s">
        <v>552</v>
      </c>
      <c r="B404" t="s">
        <v>5748</v>
      </c>
      <c r="C404" t="s">
        <v>74</v>
      </c>
      <c r="D404" t="s">
        <v>74</v>
      </c>
      <c r="E404" t="s">
        <v>74</v>
      </c>
      <c r="F404" t="s">
        <v>5748</v>
      </c>
      <c r="G404" t="s">
        <v>74</v>
      </c>
      <c r="H404" t="s">
        <v>74</v>
      </c>
      <c r="I404" t="s">
        <v>5749</v>
      </c>
      <c r="J404" t="s">
        <v>5732</v>
      </c>
      <c r="K404" t="s">
        <v>74</v>
      </c>
      <c r="L404" t="s">
        <v>74</v>
      </c>
      <c r="M404" t="s">
        <v>78</v>
      </c>
      <c r="N404" t="s">
        <v>775</v>
      </c>
      <c r="O404" t="s">
        <v>74</v>
      </c>
      <c r="P404" t="s">
        <v>74</v>
      </c>
      <c r="Q404" t="s">
        <v>74</v>
      </c>
      <c r="R404" t="s">
        <v>74</v>
      </c>
      <c r="S404" t="s">
        <v>74</v>
      </c>
      <c r="T404" t="s">
        <v>5750</v>
      </c>
      <c r="U404" t="s">
        <v>5751</v>
      </c>
      <c r="V404" t="s">
        <v>5752</v>
      </c>
      <c r="W404" t="s">
        <v>5753</v>
      </c>
      <c r="X404" t="s">
        <v>5754</v>
      </c>
      <c r="Y404" t="s">
        <v>5755</v>
      </c>
      <c r="Z404" t="s">
        <v>74</v>
      </c>
      <c r="AA404" t="s">
        <v>74</v>
      </c>
      <c r="AB404" t="s">
        <v>74</v>
      </c>
      <c r="AC404" t="s">
        <v>74</v>
      </c>
      <c r="AD404" t="s">
        <v>74</v>
      </c>
      <c r="AE404" t="s">
        <v>74</v>
      </c>
      <c r="AF404" t="s">
        <v>74</v>
      </c>
      <c r="AG404">
        <v>17</v>
      </c>
      <c r="AH404">
        <v>5</v>
      </c>
      <c r="AI404">
        <v>6</v>
      </c>
      <c r="AJ404">
        <v>0</v>
      </c>
      <c r="AK404">
        <v>4</v>
      </c>
      <c r="AL404" t="s">
        <v>5738</v>
      </c>
      <c r="AM404" t="s">
        <v>5739</v>
      </c>
      <c r="AN404" t="s">
        <v>5740</v>
      </c>
      <c r="AO404" t="s">
        <v>5741</v>
      </c>
      <c r="AP404" t="s">
        <v>74</v>
      </c>
      <c r="AQ404" t="s">
        <v>74</v>
      </c>
      <c r="AR404" t="s">
        <v>5742</v>
      </c>
      <c r="AS404" t="s">
        <v>5743</v>
      </c>
      <c r="AT404" t="s">
        <v>5744</v>
      </c>
      <c r="AU404">
        <v>2002</v>
      </c>
      <c r="AV404">
        <v>47</v>
      </c>
      <c r="AW404">
        <v>4</v>
      </c>
      <c r="AX404" t="s">
        <v>74</v>
      </c>
      <c r="AY404" t="s">
        <v>74</v>
      </c>
      <c r="AZ404" t="s">
        <v>74</v>
      </c>
      <c r="BA404" t="s">
        <v>74</v>
      </c>
      <c r="BB404">
        <v>306</v>
      </c>
      <c r="BC404">
        <v>309</v>
      </c>
      <c r="BD404" t="s">
        <v>74</v>
      </c>
      <c r="BE404" t="s">
        <v>74</v>
      </c>
      <c r="BF404" t="s">
        <v>74</v>
      </c>
      <c r="BG404" t="s">
        <v>74</v>
      </c>
      <c r="BH404" t="s">
        <v>74</v>
      </c>
      <c r="BI404">
        <v>4</v>
      </c>
      <c r="BJ404" t="s">
        <v>5745</v>
      </c>
      <c r="BK404" t="s">
        <v>569</v>
      </c>
      <c r="BL404" t="s">
        <v>5745</v>
      </c>
      <c r="BM404" t="s">
        <v>5746</v>
      </c>
      <c r="BN404" t="s">
        <v>74</v>
      </c>
      <c r="BO404" t="s">
        <v>74</v>
      </c>
      <c r="BP404" t="s">
        <v>74</v>
      </c>
      <c r="BQ404" t="s">
        <v>74</v>
      </c>
      <c r="BR404" t="s">
        <v>98</v>
      </c>
      <c r="BS404" t="s">
        <v>5756</v>
      </c>
      <c r="BT404" t="str">
        <f>HYPERLINK("https%3A%2F%2Fwww.webofscience.com%2Fwos%2Fwoscc%2Ffull-record%2FWOS:000180367900007","View Full Record in Web of Science")</f>
        <v>View Full Record in Web of Science</v>
      </c>
    </row>
    <row r="405" spans="1:72" x14ac:dyDescent="0.15">
      <c r="A405" t="s">
        <v>552</v>
      </c>
      <c r="B405" t="s">
        <v>5748</v>
      </c>
      <c r="C405" t="s">
        <v>74</v>
      </c>
      <c r="D405" t="s">
        <v>74</v>
      </c>
      <c r="E405" t="s">
        <v>74</v>
      </c>
      <c r="F405" t="s">
        <v>5748</v>
      </c>
      <c r="G405" t="s">
        <v>74</v>
      </c>
      <c r="H405" t="s">
        <v>74</v>
      </c>
      <c r="I405" t="s">
        <v>5757</v>
      </c>
      <c r="J405" t="s">
        <v>5732</v>
      </c>
      <c r="K405" t="s">
        <v>74</v>
      </c>
      <c r="L405" t="s">
        <v>74</v>
      </c>
      <c r="M405" t="s">
        <v>78</v>
      </c>
      <c r="N405" t="s">
        <v>775</v>
      </c>
      <c r="O405" t="s">
        <v>74</v>
      </c>
      <c r="P405" t="s">
        <v>74</v>
      </c>
      <c r="Q405" t="s">
        <v>74</v>
      </c>
      <c r="R405" t="s">
        <v>74</v>
      </c>
      <c r="S405" t="s">
        <v>74</v>
      </c>
      <c r="T405" t="s">
        <v>5758</v>
      </c>
      <c r="U405" t="s">
        <v>5759</v>
      </c>
      <c r="V405" t="s">
        <v>5760</v>
      </c>
      <c r="W405" t="s">
        <v>5753</v>
      </c>
      <c r="X405" t="s">
        <v>5754</v>
      </c>
      <c r="Y405" t="s">
        <v>5755</v>
      </c>
      <c r="Z405" t="s">
        <v>74</v>
      </c>
      <c r="AA405" t="s">
        <v>74</v>
      </c>
      <c r="AB405" t="s">
        <v>74</v>
      </c>
      <c r="AC405" t="s">
        <v>74</v>
      </c>
      <c r="AD405" t="s">
        <v>74</v>
      </c>
      <c r="AE405" t="s">
        <v>74</v>
      </c>
      <c r="AF405" t="s">
        <v>74</v>
      </c>
      <c r="AG405">
        <v>26</v>
      </c>
      <c r="AH405">
        <v>6</v>
      </c>
      <c r="AI405">
        <v>7</v>
      </c>
      <c r="AJ405">
        <v>0</v>
      </c>
      <c r="AK405">
        <v>3</v>
      </c>
      <c r="AL405" t="s">
        <v>5738</v>
      </c>
      <c r="AM405" t="s">
        <v>5739</v>
      </c>
      <c r="AN405" t="s">
        <v>5740</v>
      </c>
      <c r="AO405" t="s">
        <v>5741</v>
      </c>
      <c r="AP405" t="s">
        <v>74</v>
      </c>
      <c r="AQ405" t="s">
        <v>74</v>
      </c>
      <c r="AR405" t="s">
        <v>5742</v>
      </c>
      <c r="AS405" t="s">
        <v>5743</v>
      </c>
      <c r="AT405" t="s">
        <v>5744</v>
      </c>
      <c r="AU405">
        <v>2002</v>
      </c>
      <c r="AV405">
        <v>47</v>
      </c>
      <c r="AW405">
        <v>4</v>
      </c>
      <c r="AX405" t="s">
        <v>74</v>
      </c>
      <c r="AY405" t="s">
        <v>74</v>
      </c>
      <c r="AZ405" t="s">
        <v>74</v>
      </c>
      <c r="BA405" t="s">
        <v>74</v>
      </c>
      <c r="BB405">
        <v>310</v>
      </c>
      <c r="BC405">
        <v>313</v>
      </c>
      <c r="BD405" t="s">
        <v>74</v>
      </c>
      <c r="BE405" t="s">
        <v>74</v>
      </c>
      <c r="BF405" t="s">
        <v>74</v>
      </c>
      <c r="BG405" t="s">
        <v>74</v>
      </c>
      <c r="BH405" t="s">
        <v>74</v>
      </c>
      <c r="BI405">
        <v>4</v>
      </c>
      <c r="BJ405" t="s">
        <v>5745</v>
      </c>
      <c r="BK405" t="s">
        <v>569</v>
      </c>
      <c r="BL405" t="s">
        <v>5745</v>
      </c>
      <c r="BM405" t="s">
        <v>5746</v>
      </c>
      <c r="BN405" t="s">
        <v>74</v>
      </c>
      <c r="BO405" t="s">
        <v>74</v>
      </c>
      <c r="BP405" t="s">
        <v>74</v>
      </c>
      <c r="BQ405" t="s">
        <v>74</v>
      </c>
      <c r="BR405" t="s">
        <v>98</v>
      </c>
      <c r="BS405" t="s">
        <v>5761</v>
      </c>
      <c r="BT405" t="str">
        <f>HYPERLINK("https%3A%2F%2Fwww.webofscience.com%2Fwos%2Fwoscc%2Ffull-record%2FWOS:000180367900008","View Full Record in Web of Science")</f>
        <v>View Full Record in Web of Science</v>
      </c>
    </row>
    <row r="406" spans="1:72" x14ac:dyDescent="0.15">
      <c r="A406" t="s">
        <v>552</v>
      </c>
      <c r="B406" t="s">
        <v>5762</v>
      </c>
      <c r="C406" t="s">
        <v>74</v>
      </c>
      <c r="D406" t="s">
        <v>74</v>
      </c>
      <c r="E406" t="s">
        <v>74</v>
      </c>
      <c r="F406" t="s">
        <v>5762</v>
      </c>
      <c r="G406" t="s">
        <v>74</v>
      </c>
      <c r="H406" t="s">
        <v>74</v>
      </c>
      <c r="I406" t="s">
        <v>5763</v>
      </c>
      <c r="J406" t="s">
        <v>5764</v>
      </c>
      <c r="K406" t="s">
        <v>74</v>
      </c>
      <c r="L406" t="s">
        <v>74</v>
      </c>
      <c r="M406" t="s">
        <v>78</v>
      </c>
      <c r="N406" t="s">
        <v>775</v>
      </c>
      <c r="O406" t="s">
        <v>74</v>
      </c>
      <c r="P406" t="s">
        <v>74</v>
      </c>
      <c r="Q406" t="s">
        <v>74</v>
      </c>
      <c r="R406" t="s">
        <v>74</v>
      </c>
      <c r="S406" t="s">
        <v>74</v>
      </c>
      <c r="T406" t="s">
        <v>5765</v>
      </c>
      <c r="U406" t="s">
        <v>5766</v>
      </c>
      <c r="V406" t="s">
        <v>5767</v>
      </c>
      <c r="W406" t="s">
        <v>5768</v>
      </c>
      <c r="X406" t="s">
        <v>3878</v>
      </c>
      <c r="Y406" t="s">
        <v>5769</v>
      </c>
      <c r="Z406" t="s">
        <v>74</v>
      </c>
      <c r="AA406" t="s">
        <v>74</v>
      </c>
      <c r="AB406" t="s">
        <v>74</v>
      </c>
      <c r="AC406" t="s">
        <v>74</v>
      </c>
      <c r="AD406" t="s">
        <v>74</v>
      </c>
      <c r="AE406" t="s">
        <v>74</v>
      </c>
      <c r="AF406" t="s">
        <v>74</v>
      </c>
      <c r="AG406">
        <v>38</v>
      </c>
      <c r="AH406">
        <v>13</v>
      </c>
      <c r="AI406">
        <v>14</v>
      </c>
      <c r="AJ406">
        <v>5</v>
      </c>
      <c r="AK406">
        <v>50</v>
      </c>
      <c r="AL406" t="s">
        <v>5770</v>
      </c>
      <c r="AM406" t="s">
        <v>5771</v>
      </c>
      <c r="AN406" t="s">
        <v>5772</v>
      </c>
      <c r="AO406" t="s">
        <v>5773</v>
      </c>
      <c r="AP406" t="s">
        <v>74</v>
      </c>
      <c r="AQ406" t="s">
        <v>74</v>
      </c>
      <c r="AR406" t="s">
        <v>5774</v>
      </c>
      <c r="AS406" t="s">
        <v>5775</v>
      </c>
      <c r="AT406" t="s">
        <v>5744</v>
      </c>
      <c r="AU406">
        <v>2002</v>
      </c>
      <c r="AV406">
        <v>47</v>
      </c>
      <c r="AW406">
        <v>4</v>
      </c>
      <c r="AX406" t="s">
        <v>74</v>
      </c>
      <c r="AY406" t="s">
        <v>74</v>
      </c>
      <c r="AZ406" t="s">
        <v>74</v>
      </c>
      <c r="BA406" t="s">
        <v>74</v>
      </c>
      <c r="BB406">
        <v>443</v>
      </c>
      <c r="BC406">
        <v>457</v>
      </c>
      <c r="BD406" t="s">
        <v>74</v>
      </c>
      <c r="BE406" t="s">
        <v>5776</v>
      </c>
      <c r="BF406" t="str">
        <f>HYPERLINK("http://dx.doi.org/10.1007/BF03192469","http://dx.doi.org/10.1007/BF03192469")</f>
        <v>http://dx.doi.org/10.1007/BF03192469</v>
      </c>
      <c r="BG406" t="s">
        <v>74</v>
      </c>
      <c r="BH406" t="s">
        <v>74</v>
      </c>
      <c r="BI406">
        <v>15</v>
      </c>
      <c r="BJ406" t="s">
        <v>927</v>
      </c>
      <c r="BK406" t="s">
        <v>569</v>
      </c>
      <c r="BL406" t="s">
        <v>927</v>
      </c>
      <c r="BM406" t="s">
        <v>5777</v>
      </c>
      <c r="BN406" t="s">
        <v>74</v>
      </c>
      <c r="BO406" t="s">
        <v>74</v>
      </c>
      <c r="BP406" t="s">
        <v>74</v>
      </c>
      <c r="BQ406" t="s">
        <v>74</v>
      </c>
      <c r="BR406" t="s">
        <v>98</v>
      </c>
      <c r="BS406" t="s">
        <v>5778</v>
      </c>
      <c r="BT406" t="str">
        <f>HYPERLINK("https%3A%2F%2Fwww.webofscience.com%2Fwos%2Fwoscc%2Ffull-record%2FWOS:000180049800007","View Full Record in Web of Science")</f>
        <v>View Full Record in Web of Science</v>
      </c>
    </row>
    <row r="407" spans="1:72" x14ac:dyDescent="0.15">
      <c r="A407" t="s">
        <v>552</v>
      </c>
      <c r="B407" t="s">
        <v>5779</v>
      </c>
      <c r="C407" t="s">
        <v>74</v>
      </c>
      <c r="D407" t="s">
        <v>74</v>
      </c>
      <c r="E407" t="s">
        <v>74</v>
      </c>
      <c r="F407" t="s">
        <v>5779</v>
      </c>
      <c r="G407" t="s">
        <v>74</v>
      </c>
      <c r="H407" t="s">
        <v>74</v>
      </c>
      <c r="I407" t="s">
        <v>5780</v>
      </c>
      <c r="J407" t="s">
        <v>5781</v>
      </c>
      <c r="K407" t="s">
        <v>74</v>
      </c>
      <c r="L407" t="s">
        <v>74</v>
      </c>
      <c r="M407" t="s">
        <v>78</v>
      </c>
      <c r="N407" t="s">
        <v>775</v>
      </c>
      <c r="O407" t="s">
        <v>74</v>
      </c>
      <c r="P407" t="s">
        <v>74</v>
      </c>
      <c r="Q407" t="s">
        <v>74</v>
      </c>
      <c r="R407" t="s">
        <v>74</v>
      </c>
      <c r="S407" t="s">
        <v>74</v>
      </c>
      <c r="T407" t="s">
        <v>5782</v>
      </c>
      <c r="U407" t="s">
        <v>5783</v>
      </c>
      <c r="V407" t="s">
        <v>5784</v>
      </c>
      <c r="W407" t="s">
        <v>5785</v>
      </c>
      <c r="X407" t="s">
        <v>5786</v>
      </c>
      <c r="Y407" t="s">
        <v>5787</v>
      </c>
      <c r="Z407" t="s">
        <v>3283</v>
      </c>
      <c r="AA407" t="s">
        <v>74</v>
      </c>
      <c r="AB407" t="s">
        <v>5788</v>
      </c>
      <c r="AC407" t="s">
        <v>74</v>
      </c>
      <c r="AD407" t="s">
        <v>74</v>
      </c>
      <c r="AE407" t="s">
        <v>74</v>
      </c>
      <c r="AF407" t="s">
        <v>74</v>
      </c>
      <c r="AG407">
        <v>61</v>
      </c>
      <c r="AH407">
        <v>30</v>
      </c>
      <c r="AI407">
        <v>38</v>
      </c>
      <c r="AJ407">
        <v>2</v>
      </c>
      <c r="AK407">
        <v>16</v>
      </c>
      <c r="AL407" t="s">
        <v>1147</v>
      </c>
      <c r="AM407" t="s">
        <v>1148</v>
      </c>
      <c r="AN407" t="s">
        <v>1149</v>
      </c>
      <c r="AO407" t="s">
        <v>5789</v>
      </c>
      <c r="AP407" t="s">
        <v>5790</v>
      </c>
      <c r="AQ407" t="s">
        <v>74</v>
      </c>
      <c r="AR407" t="s">
        <v>5791</v>
      </c>
      <c r="AS407" t="s">
        <v>5792</v>
      </c>
      <c r="AT407" t="s">
        <v>5744</v>
      </c>
      <c r="AU407">
        <v>2002</v>
      </c>
      <c r="AV407">
        <v>40</v>
      </c>
      <c r="AW407">
        <v>4</v>
      </c>
      <c r="AX407" t="s">
        <v>74</v>
      </c>
      <c r="AY407" t="s">
        <v>74</v>
      </c>
      <c r="AZ407" t="s">
        <v>74</v>
      </c>
      <c r="BA407" t="s">
        <v>74</v>
      </c>
      <c r="BB407">
        <v>337</v>
      </c>
      <c r="BC407">
        <v>349</v>
      </c>
      <c r="BD407" t="s">
        <v>74</v>
      </c>
      <c r="BE407" t="s">
        <v>5793</v>
      </c>
      <c r="BF407" t="str">
        <f>HYPERLINK("http://dx.doi.org/10.1046/j.1365-2028.2002.00387.x","http://dx.doi.org/10.1046/j.1365-2028.2002.00387.x")</f>
        <v>http://dx.doi.org/10.1046/j.1365-2028.2002.00387.x</v>
      </c>
      <c r="BG407" t="s">
        <v>74</v>
      </c>
      <c r="BH407" t="s">
        <v>74</v>
      </c>
      <c r="BI407">
        <v>13</v>
      </c>
      <c r="BJ407" t="s">
        <v>5794</v>
      </c>
      <c r="BK407" t="s">
        <v>569</v>
      </c>
      <c r="BL407" t="s">
        <v>1195</v>
      </c>
      <c r="BM407" t="s">
        <v>5795</v>
      </c>
      <c r="BN407" t="s">
        <v>74</v>
      </c>
      <c r="BO407" t="s">
        <v>590</v>
      </c>
      <c r="BP407" t="s">
        <v>74</v>
      </c>
      <c r="BQ407" t="s">
        <v>74</v>
      </c>
      <c r="BR407" t="s">
        <v>98</v>
      </c>
      <c r="BS407" t="s">
        <v>5796</v>
      </c>
      <c r="BT407" t="str">
        <f>HYPERLINK("https%3A%2F%2Fwww.webofscience.com%2Fwos%2Fwoscc%2Ffull-record%2FWOS:000179068500004","View Full Record in Web of Science")</f>
        <v>View Full Record in Web of Science</v>
      </c>
    </row>
    <row r="408" spans="1:72" x14ac:dyDescent="0.15">
      <c r="A408" t="s">
        <v>552</v>
      </c>
      <c r="B408" t="s">
        <v>5779</v>
      </c>
      <c r="C408" t="s">
        <v>74</v>
      </c>
      <c r="D408" t="s">
        <v>74</v>
      </c>
      <c r="E408" t="s">
        <v>74</v>
      </c>
      <c r="F408" t="s">
        <v>5779</v>
      </c>
      <c r="G408" t="s">
        <v>74</v>
      </c>
      <c r="H408" t="s">
        <v>74</v>
      </c>
      <c r="I408" t="s">
        <v>5797</v>
      </c>
      <c r="J408" t="s">
        <v>5781</v>
      </c>
      <c r="K408" t="s">
        <v>74</v>
      </c>
      <c r="L408" t="s">
        <v>74</v>
      </c>
      <c r="M408" t="s">
        <v>78</v>
      </c>
      <c r="N408" t="s">
        <v>775</v>
      </c>
      <c r="O408" t="s">
        <v>74</v>
      </c>
      <c r="P408" t="s">
        <v>74</v>
      </c>
      <c r="Q408" t="s">
        <v>74</v>
      </c>
      <c r="R408" t="s">
        <v>74</v>
      </c>
      <c r="S408" t="s">
        <v>74</v>
      </c>
      <c r="T408" t="s">
        <v>5798</v>
      </c>
      <c r="U408" t="s">
        <v>5799</v>
      </c>
      <c r="V408" t="s">
        <v>5800</v>
      </c>
      <c r="W408" t="s">
        <v>5785</v>
      </c>
      <c r="X408" t="s">
        <v>5786</v>
      </c>
      <c r="Y408" t="s">
        <v>5801</v>
      </c>
      <c r="Z408" t="s">
        <v>74</v>
      </c>
      <c r="AA408" t="s">
        <v>74</v>
      </c>
      <c r="AB408" t="s">
        <v>5788</v>
      </c>
      <c r="AC408" t="s">
        <v>74</v>
      </c>
      <c r="AD408" t="s">
        <v>74</v>
      </c>
      <c r="AE408" t="s">
        <v>74</v>
      </c>
      <c r="AF408" t="s">
        <v>74</v>
      </c>
      <c r="AG408">
        <v>40</v>
      </c>
      <c r="AH408">
        <v>20</v>
      </c>
      <c r="AI408">
        <v>22</v>
      </c>
      <c r="AJ408">
        <v>0</v>
      </c>
      <c r="AK408">
        <v>5</v>
      </c>
      <c r="AL408" t="s">
        <v>2581</v>
      </c>
      <c r="AM408" t="s">
        <v>807</v>
      </c>
      <c r="AN408" t="s">
        <v>2582</v>
      </c>
      <c r="AO408" t="s">
        <v>5789</v>
      </c>
      <c r="AP408" t="s">
        <v>74</v>
      </c>
      <c r="AQ408" t="s">
        <v>74</v>
      </c>
      <c r="AR408" t="s">
        <v>5791</v>
      </c>
      <c r="AS408" t="s">
        <v>5792</v>
      </c>
      <c r="AT408" t="s">
        <v>5744</v>
      </c>
      <c r="AU408">
        <v>2002</v>
      </c>
      <c r="AV408">
        <v>40</v>
      </c>
      <c r="AW408">
        <v>4</v>
      </c>
      <c r="AX408" t="s">
        <v>74</v>
      </c>
      <c r="AY408" t="s">
        <v>74</v>
      </c>
      <c r="AZ408" t="s">
        <v>74</v>
      </c>
      <c r="BA408" t="s">
        <v>74</v>
      </c>
      <c r="BB408">
        <v>350</v>
      </c>
      <c r="BC408">
        <v>359</v>
      </c>
      <c r="BD408" t="s">
        <v>74</v>
      </c>
      <c r="BE408" t="s">
        <v>5802</v>
      </c>
      <c r="BF408" t="str">
        <f>HYPERLINK("http://dx.doi.org/10.1046/j.1365-2028.2002.00388.x","http://dx.doi.org/10.1046/j.1365-2028.2002.00388.x")</f>
        <v>http://dx.doi.org/10.1046/j.1365-2028.2002.00388.x</v>
      </c>
      <c r="BG408" t="s">
        <v>74</v>
      </c>
      <c r="BH408" t="s">
        <v>74</v>
      </c>
      <c r="BI408">
        <v>10</v>
      </c>
      <c r="BJ408" t="s">
        <v>5794</v>
      </c>
      <c r="BK408" t="s">
        <v>569</v>
      </c>
      <c r="BL408" t="s">
        <v>1195</v>
      </c>
      <c r="BM408" t="s">
        <v>5795</v>
      </c>
      <c r="BN408" t="s">
        <v>74</v>
      </c>
      <c r="BO408" t="s">
        <v>74</v>
      </c>
      <c r="BP408" t="s">
        <v>74</v>
      </c>
      <c r="BQ408" t="s">
        <v>74</v>
      </c>
      <c r="BR408" t="s">
        <v>98</v>
      </c>
      <c r="BS408" t="s">
        <v>5803</v>
      </c>
      <c r="BT408" t="str">
        <f>HYPERLINK("https%3A%2F%2Fwww.webofscience.com%2Fwos%2Fwoscc%2Ffull-record%2FWOS:000179068500005","View Full Record in Web of Science")</f>
        <v>View Full Record in Web of Science</v>
      </c>
    </row>
    <row r="409" spans="1:72" x14ac:dyDescent="0.15">
      <c r="A409" t="s">
        <v>552</v>
      </c>
      <c r="B409" t="s">
        <v>5804</v>
      </c>
      <c r="C409" t="s">
        <v>74</v>
      </c>
      <c r="D409" t="s">
        <v>74</v>
      </c>
      <c r="E409" t="s">
        <v>74</v>
      </c>
      <c r="F409" t="s">
        <v>5804</v>
      </c>
      <c r="G409" t="s">
        <v>74</v>
      </c>
      <c r="H409" t="s">
        <v>74</v>
      </c>
      <c r="I409" t="s">
        <v>5805</v>
      </c>
      <c r="J409" t="s">
        <v>5806</v>
      </c>
      <c r="K409" t="s">
        <v>74</v>
      </c>
      <c r="L409" t="s">
        <v>74</v>
      </c>
      <c r="M409" t="s">
        <v>78</v>
      </c>
      <c r="N409" t="s">
        <v>775</v>
      </c>
      <c r="O409" t="s">
        <v>74</v>
      </c>
      <c r="P409" t="s">
        <v>74</v>
      </c>
      <c r="Q409" t="s">
        <v>74</v>
      </c>
      <c r="R409" t="s">
        <v>74</v>
      </c>
      <c r="S409" t="s">
        <v>74</v>
      </c>
      <c r="T409" t="s">
        <v>5807</v>
      </c>
      <c r="U409" t="s">
        <v>5808</v>
      </c>
      <c r="V409" t="s">
        <v>5809</v>
      </c>
      <c r="W409" t="s">
        <v>5810</v>
      </c>
      <c r="X409" t="s">
        <v>5811</v>
      </c>
      <c r="Y409" t="s">
        <v>5812</v>
      </c>
      <c r="Z409" t="s">
        <v>74</v>
      </c>
      <c r="AA409" t="s">
        <v>74</v>
      </c>
      <c r="AB409" t="s">
        <v>74</v>
      </c>
      <c r="AC409" t="s">
        <v>74</v>
      </c>
      <c r="AD409" t="s">
        <v>74</v>
      </c>
      <c r="AE409" t="s">
        <v>74</v>
      </c>
      <c r="AF409" t="s">
        <v>74</v>
      </c>
      <c r="AG409">
        <v>24</v>
      </c>
      <c r="AH409">
        <v>7</v>
      </c>
      <c r="AI409">
        <v>9</v>
      </c>
      <c r="AJ409">
        <v>0</v>
      </c>
      <c r="AK409">
        <v>1</v>
      </c>
      <c r="AL409" t="s">
        <v>5813</v>
      </c>
      <c r="AM409" t="s">
        <v>5814</v>
      </c>
      <c r="AN409" t="s">
        <v>5815</v>
      </c>
      <c r="AO409" t="s">
        <v>5816</v>
      </c>
      <c r="AP409" t="s">
        <v>74</v>
      </c>
      <c r="AQ409" t="s">
        <v>74</v>
      </c>
      <c r="AR409" t="s">
        <v>5817</v>
      </c>
      <c r="AS409" t="s">
        <v>5818</v>
      </c>
      <c r="AT409" t="s">
        <v>5744</v>
      </c>
      <c r="AU409">
        <v>2002</v>
      </c>
      <c r="AV409">
        <v>20</v>
      </c>
      <c r="AW409">
        <v>12</v>
      </c>
      <c r="AX409" t="s">
        <v>74</v>
      </c>
      <c r="AY409" t="s">
        <v>74</v>
      </c>
      <c r="AZ409" t="s">
        <v>74</v>
      </c>
      <c r="BA409" t="s">
        <v>74</v>
      </c>
      <c r="BB409">
        <v>1987</v>
      </c>
      <c r="BC409">
        <v>2001</v>
      </c>
      <c r="BD409" t="s">
        <v>74</v>
      </c>
      <c r="BE409" t="s">
        <v>5819</v>
      </c>
      <c r="BF409" t="str">
        <f>HYPERLINK("http://dx.doi.org/10.5194/angeo-20-1987-2002","http://dx.doi.org/10.5194/angeo-20-1987-2002")</f>
        <v>http://dx.doi.org/10.5194/angeo-20-1987-2002</v>
      </c>
      <c r="BG409" t="s">
        <v>74</v>
      </c>
      <c r="BH409" t="s">
        <v>74</v>
      </c>
      <c r="BI409">
        <v>15</v>
      </c>
      <c r="BJ409" t="s">
        <v>5820</v>
      </c>
      <c r="BK409" t="s">
        <v>569</v>
      </c>
      <c r="BL409" t="s">
        <v>5821</v>
      </c>
      <c r="BM409" t="s">
        <v>5822</v>
      </c>
      <c r="BN409" t="s">
        <v>74</v>
      </c>
      <c r="BO409" t="s">
        <v>5823</v>
      </c>
      <c r="BP409" t="s">
        <v>74</v>
      </c>
      <c r="BQ409" t="s">
        <v>74</v>
      </c>
      <c r="BR409" t="s">
        <v>98</v>
      </c>
      <c r="BS409" t="s">
        <v>5824</v>
      </c>
      <c r="BT409" t="str">
        <f>HYPERLINK("https%3A%2F%2Fwww.webofscience.com%2Fwos%2Fwoscc%2Ffull-record%2FWOS:000180532800009","View Full Record in Web of Science")</f>
        <v>View Full Record in Web of Science</v>
      </c>
    </row>
    <row r="410" spans="1:72" x14ac:dyDescent="0.15">
      <c r="A410" t="s">
        <v>552</v>
      </c>
      <c r="B410" t="s">
        <v>5825</v>
      </c>
      <c r="C410" t="s">
        <v>74</v>
      </c>
      <c r="D410" t="s">
        <v>74</v>
      </c>
      <c r="E410" t="s">
        <v>74</v>
      </c>
      <c r="F410" t="s">
        <v>5825</v>
      </c>
      <c r="G410" t="s">
        <v>74</v>
      </c>
      <c r="H410" t="s">
        <v>74</v>
      </c>
      <c r="I410" t="s">
        <v>5826</v>
      </c>
      <c r="J410" t="s">
        <v>555</v>
      </c>
      <c r="K410" t="s">
        <v>74</v>
      </c>
      <c r="L410" t="s">
        <v>74</v>
      </c>
      <c r="M410" t="s">
        <v>78</v>
      </c>
      <c r="N410" t="s">
        <v>556</v>
      </c>
      <c r="O410" t="s">
        <v>74</v>
      </c>
      <c r="P410" t="s">
        <v>74</v>
      </c>
      <c r="Q410" t="s">
        <v>74</v>
      </c>
      <c r="R410" t="s">
        <v>74</v>
      </c>
      <c r="S410" t="s">
        <v>74</v>
      </c>
      <c r="T410" t="s">
        <v>74</v>
      </c>
      <c r="U410" t="s">
        <v>74</v>
      </c>
      <c r="V410" t="s">
        <v>74</v>
      </c>
      <c r="W410" t="s">
        <v>5827</v>
      </c>
      <c r="X410" t="s">
        <v>2779</v>
      </c>
      <c r="Y410" t="s">
        <v>5828</v>
      </c>
      <c r="Z410" t="s">
        <v>74</v>
      </c>
      <c r="AA410" t="s">
        <v>74</v>
      </c>
      <c r="AB410" t="s">
        <v>74</v>
      </c>
      <c r="AC410" t="s">
        <v>74</v>
      </c>
      <c r="AD410" t="s">
        <v>74</v>
      </c>
      <c r="AE410" t="s">
        <v>74</v>
      </c>
      <c r="AF410" t="s">
        <v>74</v>
      </c>
      <c r="AG410">
        <v>0</v>
      </c>
      <c r="AH410">
        <v>2</v>
      </c>
      <c r="AI410">
        <v>3</v>
      </c>
      <c r="AJ410">
        <v>0</v>
      </c>
      <c r="AK410">
        <v>2</v>
      </c>
      <c r="AL410" t="s">
        <v>560</v>
      </c>
      <c r="AM410" t="s">
        <v>561</v>
      </c>
      <c r="AN410" t="s">
        <v>3082</v>
      </c>
      <c r="AO410" t="s">
        <v>563</v>
      </c>
      <c r="AP410" t="s">
        <v>74</v>
      </c>
      <c r="AQ410" t="s">
        <v>74</v>
      </c>
      <c r="AR410" t="s">
        <v>564</v>
      </c>
      <c r="AS410" t="s">
        <v>565</v>
      </c>
      <c r="AT410" t="s">
        <v>5744</v>
      </c>
      <c r="AU410">
        <v>2002</v>
      </c>
      <c r="AV410">
        <v>14</v>
      </c>
      <c r="AW410">
        <v>4</v>
      </c>
      <c r="AX410" t="s">
        <v>74</v>
      </c>
      <c r="AY410" t="s">
        <v>74</v>
      </c>
      <c r="AZ410" t="s">
        <v>74</v>
      </c>
      <c r="BA410" t="s">
        <v>74</v>
      </c>
      <c r="BB410">
        <v>291</v>
      </c>
      <c r="BC410">
        <v>291</v>
      </c>
      <c r="BD410" t="s">
        <v>74</v>
      </c>
      <c r="BE410" t="s">
        <v>74</v>
      </c>
      <c r="BF410" t="s">
        <v>74</v>
      </c>
      <c r="BG410" t="s">
        <v>74</v>
      </c>
      <c r="BH410" t="s">
        <v>74</v>
      </c>
      <c r="BI410">
        <v>1</v>
      </c>
      <c r="BJ410" t="s">
        <v>568</v>
      </c>
      <c r="BK410" t="s">
        <v>569</v>
      </c>
      <c r="BL410" t="s">
        <v>570</v>
      </c>
      <c r="BM410" t="s">
        <v>5829</v>
      </c>
      <c r="BN410" t="s">
        <v>74</v>
      </c>
      <c r="BO410" t="s">
        <v>74</v>
      </c>
      <c r="BP410" t="s">
        <v>74</v>
      </c>
      <c r="BQ410" t="s">
        <v>74</v>
      </c>
      <c r="BR410" t="s">
        <v>98</v>
      </c>
      <c r="BS410" t="s">
        <v>5830</v>
      </c>
      <c r="BT410" t="str">
        <f>HYPERLINK("https%3A%2F%2Fwww.webofscience.com%2Fwos%2Fwoscc%2Ffull-record%2FWOS:000181258200001","View Full Record in Web of Science")</f>
        <v>View Full Record in Web of Science</v>
      </c>
    </row>
    <row r="411" spans="1:72" x14ac:dyDescent="0.15">
      <c r="A411" t="s">
        <v>552</v>
      </c>
      <c r="B411" t="s">
        <v>5831</v>
      </c>
      <c r="C411" t="s">
        <v>74</v>
      </c>
      <c r="D411" t="s">
        <v>74</v>
      </c>
      <c r="E411" t="s">
        <v>74</v>
      </c>
      <c r="F411" t="s">
        <v>5831</v>
      </c>
      <c r="G411" t="s">
        <v>74</v>
      </c>
      <c r="H411" t="s">
        <v>74</v>
      </c>
      <c r="I411" t="s">
        <v>5832</v>
      </c>
      <c r="J411" t="s">
        <v>555</v>
      </c>
      <c r="K411" t="s">
        <v>74</v>
      </c>
      <c r="L411" t="s">
        <v>74</v>
      </c>
      <c r="M411" t="s">
        <v>78</v>
      </c>
      <c r="N411" t="s">
        <v>1114</v>
      </c>
      <c r="O411" t="s">
        <v>74</v>
      </c>
      <c r="P411" t="s">
        <v>74</v>
      </c>
      <c r="Q411" t="s">
        <v>74</v>
      </c>
      <c r="R411" t="s">
        <v>74</v>
      </c>
      <c r="S411" t="s">
        <v>74</v>
      </c>
      <c r="T411" t="s">
        <v>5833</v>
      </c>
      <c r="U411" t="s">
        <v>5834</v>
      </c>
      <c r="V411" t="s">
        <v>5835</v>
      </c>
      <c r="W411" t="s">
        <v>5836</v>
      </c>
      <c r="X411" t="s">
        <v>5837</v>
      </c>
      <c r="Y411" t="s">
        <v>5838</v>
      </c>
      <c r="Z411" t="s">
        <v>74</v>
      </c>
      <c r="AA411" t="s">
        <v>74</v>
      </c>
      <c r="AB411" t="s">
        <v>74</v>
      </c>
      <c r="AC411" t="s">
        <v>74</v>
      </c>
      <c r="AD411" t="s">
        <v>74</v>
      </c>
      <c r="AE411" t="s">
        <v>74</v>
      </c>
      <c r="AF411" t="s">
        <v>74</v>
      </c>
      <c r="AG411">
        <v>227</v>
      </c>
      <c r="AH411">
        <v>121</v>
      </c>
      <c r="AI411">
        <v>139</v>
      </c>
      <c r="AJ411">
        <v>4</v>
      </c>
      <c r="AK411">
        <v>46</v>
      </c>
      <c r="AL411" t="s">
        <v>560</v>
      </c>
      <c r="AM411" t="s">
        <v>561</v>
      </c>
      <c r="AN411" t="s">
        <v>3082</v>
      </c>
      <c r="AO411" t="s">
        <v>563</v>
      </c>
      <c r="AP411" t="s">
        <v>74</v>
      </c>
      <c r="AQ411" t="s">
        <v>74</v>
      </c>
      <c r="AR411" t="s">
        <v>564</v>
      </c>
      <c r="AS411" t="s">
        <v>565</v>
      </c>
      <c r="AT411" t="s">
        <v>5744</v>
      </c>
      <c r="AU411">
        <v>2002</v>
      </c>
      <c r="AV411">
        <v>14</v>
      </c>
      <c r="AW411">
        <v>4</v>
      </c>
      <c r="AX411" t="s">
        <v>74</v>
      </c>
      <c r="AY411" t="s">
        <v>74</v>
      </c>
      <c r="AZ411" t="s">
        <v>74</v>
      </c>
      <c r="BA411" t="s">
        <v>74</v>
      </c>
      <c r="BB411">
        <v>293</v>
      </c>
      <c r="BC411">
        <v>309</v>
      </c>
      <c r="BD411" t="s">
        <v>74</v>
      </c>
      <c r="BE411" t="s">
        <v>5839</v>
      </c>
      <c r="BF411" t="str">
        <f>HYPERLINK("http://dx.doi.org/10.1017/S0954102002000111","http://dx.doi.org/10.1017/S0954102002000111")</f>
        <v>http://dx.doi.org/10.1017/S0954102002000111</v>
      </c>
      <c r="BG411" t="s">
        <v>74</v>
      </c>
      <c r="BH411" t="s">
        <v>74</v>
      </c>
      <c r="BI411">
        <v>17</v>
      </c>
      <c r="BJ411" t="s">
        <v>568</v>
      </c>
      <c r="BK411" t="s">
        <v>569</v>
      </c>
      <c r="BL411" t="s">
        <v>570</v>
      </c>
      <c r="BM411" t="s">
        <v>5829</v>
      </c>
      <c r="BN411" t="s">
        <v>74</v>
      </c>
      <c r="BO411" t="s">
        <v>74</v>
      </c>
      <c r="BP411" t="s">
        <v>74</v>
      </c>
      <c r="BQ411" t="s">
        <v>74</v>
      </c>
      <c r="BR411" t="s">
        <v>98</v>
      </c>
      <c r="BS411" t="s">
        <v>5840</v>
      </c>
      <c r="BT411" t="str">
        <f>HYPERLINK("https%3A%2F%2Fwww.webofscience.com%2Fwos%2Fwoscc%2Ffull-record%2FWOS:000181258200002","View Full Record in Web of Science")</f>
        <v>View Full Record in Web of Science</v>
      </c>
    </row>
    <row r="412" spans="1:72" x14ac:dyDescent="0.15">
      <c r="A412" t="s">
        <v>552</v>
      </c>
      <c r="B412" t="s">
        <v>5841</v>
      </c>
      <c r="C412" t="s">
        <v>74</v>
      </c>
      <c r="D412" t="s">
        <v>74</v>
      </c>
      <c r="E412" t="s">
        <v>74</v>
      </c>
      <c r="F412" t="s">
        <v>5841</v>
      </c>
      <c r="G412" t="s">
        <v>74</v>
      </c>
      <c r="H412" t="s">
        <v>74</v>
      </c>
      <c r="I412" t="s">
        <v>5842</v>
      </c>
      <c r="J412" t="s">
        <v>555</v>
      </c>
      <c r="K412" t="s">
        <v>74</v>
      </c>
      <c r="L412" t="s">
        <v>74</v>
      </c>
      <c r="M412" t="s">
        <v>78</v>
      </c>
      <c r="N412" t="s">
        <v>775</v>
      </c>
      <c r="O412" t="s">
        <v>74</v>
      </c>
      <c r="P412" t="s">
        <v>74</v>
      </c>
      <c r="Q412" t="s">
        <v>74</v>
      </c>
      <c r="R412" t="s">
        <v>74</v>
      </c>
      <c r="S412" t="s">
        <v>74</v>
      </c>
      <c r="T412" t="s">
        <v>5843</v>
      </c>
      <c r="U412" t="s">
        <v>5844</v>
      </c>
      <c r="V412" t="s">
        <v>5845</v>
      </c>
      <c r="W412" t="s">
        <v>5846</v>
      </c>
      <c r="X412" t="s">
        <v>74</v>
      </c>
      <c r="Y412" t="s">
        <v>5847</v>
      </c>
      <c r="Z412" t="s">
        <v>74</v>
      </c>
      <c r="AA412" t="s">
        <v>74</v>
      </c>
      <c r="AB412" t="s">
        <v>74</v>
      </c>
      <c r="AC412" t="s">
        <v>74</v>
      </c>
      <c r="AD412" t="s">
        <v>74</v>
      </c>
      <c r="AE412" t="s">
        <v>74</v>
      </c>
      <c r="AF412" t="s">
        <v>74</v>
      </c>
      <c r="AG412">
        <v>34</v>
      </c>
      <c r="AH412">
        <v>5</v>
      </c>
      <c r="AI412">
        <v>6</v>
      </c>
      <c r="AJ412">
        <v>0</v>
      </c>
      <c r="AK412">
        <v>1</v>
      </c>
      <c r="AL412" t="s">
        <v>560</v>
      </c>
      <c r="AM412" t="s">
        <v>561</v>
      </c>
      <c r="AN412" t="s">
        <v>3082</v>
      </c>
      <c r="AO412" t="s">
        <v>563</v>
      </c>
      <c r="AP412" t="s">
        <v>74</v>
      </c>
      <c r="AQ412" t="s">
        <v>74</v>
      </c>
      <c r="AR412" t="s">
        <v>564</v>
      </c>
      <c r="AS412" t="s">
        <v>565</v>
      </c>
      <c r="AT412" t="s">
        <v>5744</v>
      </c>
      <c r="AU412">
        <v>2002</v>
      </c>
      <c r="AV412">
        <v>14</v>
      </c>
      <c r="AW412">
        <v>4</v>
      </c>
      <c r="AX412" t="s">
        <v>74</v>
      </c>
      <c r="AY412" t="s">
        <v>74</v>
      </c>
      <c r="AZ412" t="s">
        <v>74</v>
      </c>
      <c r="BA412" t="s">
        <v>74</v>
      </c>
      <c r="BB412">
        <v>310</v>
      </c>
      <c r="BC412">
        <v>318</v>
      </c>
      <c r="BD412" t="s">
        <v>74</v>
      </c>
      <c r="BE412" t="s">
        <v>5848</v>
      </c>
      <c r="BF412" t="str">
        <f>HYPERLINK("http://dx.doi.org/10.1017/S0954102002000147","http://dx.doi.org/10.1017/S0954102002000147")</f>
        <v>http://dx.doi.org/10.1017/S0954102002000147</v>
      </c>
      <c r="BG412" t="s">
        <v>74</v>
      </c>
      <c r="BH412" t="s">
        <v>74</v>
      </c>
      <c r="BI412">
        <v>9</v>
      </c>
      <c r="BJ412" t="s">
        <v>568</v>
      </c>
      <c r="BK412" t="s">
        <v>569</v>
      </c>
      <c r="BL412" t="s">
        <v>570</v>
      </c>
      <c r="BM412" t="s">
        <v>5829</v>
      </c>
      <c r="BN412" t="s">
        <v>74</v>
      </c>
      <c r="BO412" t="s">
        <v>74</v>
      </c>
      <c r="BP412" t="s">
        <v>74</v>
      </c>
      <c r="BQ412" t="s">
        <v>74</v>
      </c>
      <c r="BR412" t="s">
        <v>98</v>
      </c>
      <c r="BS412" t="s">
        <v>5849</v>
      </c>
      <c r="BT412" t="str">
        <f>HYPERLINK("https%3A%2F%2Fwww.webofscience.com%2Fwos%2Fwoscc%2Ffull-record%2FWOS:000181258200003","View Full Record in Web of Science")</f>
        <v>View Full Record in Web of Science</v>
      </c>
    </row>
    <row r="413" spans="1:72" x14ac:dyDescent="0.15">
      <c r="A413" t="s">
        <v>552</v>
      </c>
      <c r="B413" t="s">
        <v>5850</v>
      </c>
      <c r="C413" t="s">
        <v>74</v>
      </c>
      <c r="D413" t="s">
        <v>74</v>
      </c>
      <c r="E413" t="s">
        <v>74</v>
      </c>
      <c r="F413" t="s">
        <v>5850</v>
      </c>
      <c r="G413" t="s">
        <v>74</v>
      </c>
      <c r="H413" t="s">
        <v>74</v>
      </c>
      <c r="I413" t="s">
        <v>5851</v>
      </c>
      <c r="J413" t="s">
        <v>555</v>
      </c>
      <c r="K413" t="s">
        <v>74</v>
      </c>
      <c r="L413" t="s">
        <v>74</v>
      </c>
      <c r="M413" t="s">
        <v>78</v>
      </c>
      <c r="N413" t="s">
        <v>775</v>
      </c>
      <c r="O413" t="s">
        <v>74</v>
      </c>
      <c r="P413" t="s">
        <v>74</v>
      </c>
      <c r="Q413" t="s">
        <v>74</v>
      </c>
      <c r="R413" t="s">
        <v>74</v>
      </c>
      <c r="S413" t="s">
        <v>74</v>
      </c>
      <c r="T413" t="s">
        <v>5852</v>
      </c>
      <c r="U413" t="s">
        <v>5853</v>
      </c>
      <c r="V413" t="s">
        <v>5854</v>
      </c>
      <c r="W413" t="s">
        <v>5855</v>
      </c>
      <c r="X413" t="s">
        <v>5856</v>
      </c>
      <c r="Y413" t="s">
        <v>5857</v>
      </c>
      <c r="Z413" t="s">
        <v>74</v>
      </c>
      <c r="AA413" t="s">
        <v>74</v>
      </c>
      <c r="AB413" t="s">
        <v>74</v>
      </c>
      <c r="AC413" t="s">
        <v>74</v>
      </c>
      <c r="AD413" t="s">
        <v>74</v>
      </c>
      <c r="AE413" t="s">
        <v>74</v>
      </c>
      <c r="AF413" t="s">
        <v>74</v>
      </c>
      <c r="AG413">
        <v>28</v>
      </c>
      <c r="AH413">
        <v>53</v>
      </c>
      <c r="AI413">
        <v>66</v>
      </c>
      <c r="AJ413">
        <v>0</v>
      </c>
      <c r="AK413">
        <v>15</v>
      </c>
      <c r="AL413" t="s">
        <v>560</v>
      </c>
      <c r="AM413" t="s">
        <v>561</v>
      </c>
      <c r="AN413" t="s">
        <v>3082</v>
      </c>
      <c r="AO413" t="s">
        <v>563</v>
      </c>
      <c r="AP413" t="s">
        <v>74</v>
      </c>
      <c r="AQ413" t="s">
        <v>74</v>
      </c>
      <c r="AR413" t="s">
        <v>564</v>
      </c>
      <c r="AS413" t="s">
        <v>565</v>
      </c>
      <c r="AT413" t="s">
        <v>5744</v>
      </c>
      <c r="AU413">
        <v>2002</v>
      </c>
      <c r="AV413">
        <v>14</v>
      </c>
      <c r="AW413">
        <v>4</v>
      </c>
      <c r="AX413" t="s">
        <v>74</v>
      </c>
      <c r="AY413" t="s">
        <v>74</v>
      </c>
      <c r="AZ413" t="s">
        <v>74</v>
      </c>
      <c r="BA413" t="s">
        <v>74</v>
      </c>
      <c r="BB413">
        <v>319</v>
      </c>
      <c r="BC413">
        <v>326</v>
      </c>
      <c r="BD413" t="s">
        <v>74</v>
      </c>
      <c r="BE413" t="s">
        <v>5858</v>
      </c>
      <c r="BF413" t="str">
        <f>HYPERLINK("http://dx.doi.org/10.1017/S0954102002000135","http://dx.doi.org/10.1017/S0954102002000135")</f>
        <v>http://dx.doi.org/10.1017/S0954102002000135</v>
      </c>
      <c r="BG413" t="s">
        <v>74</v>
      </c>
      <c r="BH413" t="s">
        <v>74</v>
      </c>
      <c r="BI413">
        <v>8</v>
      </c>
      <c r="BJ413" t="s">
        <v>568</v>
      </c>
      <c r="BK413" t="s">
        <v>569</v>
      </c>
      <c r="BL413" t="s">
        <v>570</v>
      </c>
      <c r="BM413" t="s">
        <v>5829</v>
      </c>
      <c r="BN413" t="s">
        <v>74</v>
      </c>
      <c r="BO413" t="s">
        <v>590</v>
      </c>
      <c r="BP413" t="s">
        <v>74</v>
      </c>
      <c r="BQ413" t="s">
        <v>74</v>
      </c>
      <c r="BR413" t="s">
        <v>98</v>
      </c>
      <c r="BS413" t="s">
        <v>5859</v>
      </c>
      <c r="BT413" t="str">
        <f>HYPERLINK("https%3A%2F%2Fwww.webofscience.com%2Fwos%2Fwoscc%2Ffull-record%2FWOS:000181258200004","View Full Record in Web of Science")</f>
        <v>View Full Record in Web of Science</v>
      </c>
    </row>
    <row r="414" spans="1:72" x14ac:dyDescent="0.15">
      <c r="A414" t="s">
        <v>552</v>
      </c>
      <c r="B414" t="s">
        <v>5860</v>
      </c>
      <c r="C414" t="s">
        <v>74</v>
      </c>
      <c r="D414" t="s">
        <v>74</v>
      </c>
      <c r="E414" t="s">
        <v>74</v>
      </c>
      <c r="F414" t="s">
        <v>5860</v>
      </c>
      <c r="G414" t="s">
        <v>74</v>
      </c>
      <c r="H414" t="s">
        <v>74</v>
      </c>
      <c r="I414" t="s">
        <v>5861</v>
      </c>
      <c r="J414" t="s">
        <v>555</v>
      </c>
      <c r="K414" t="s">
        <v>74</v>
      </c>
      <c r="L414" t="s">
        <v>74</v>
      </c>
      <c r="M414" t="s">
        <v>78</v>
      </c>
      <c r="N414" t="s">
        <v>775</v>
      </c>
      <c r="O414" t="s">
        <v>74</v>
      </c>
      <c r="P414" t="s">
        <v>74</v>
      </c>
      <c r="Q414" t="s">
        <v>74</v>
      </c>
      <c r="R414" t="s">
        <v>74</v>
      </c>
      <c r="S414" t="s">
        <v>74</v>
      </c>
      <c r="T414" t="s">
        <v>5862</v>
      </c>
      <c r="U414" t="s">
        <v>5863</v>
      </c>
      <c r="V414" t="s">
        <v>5864</v>
      </c>
      <c r="W414" t="s">
        <v>5865</v>
      </c>
      <c r="X414" t="s">
        <v>5866</v>
      </c>
      <c r="Y414" t="s">
        <v>5867</v>
      </c>
      <c r="Z414" t="s">
        <v>74</v>
      </c>
      <c r="AA414" t="s">
        <v>5868</v>
      </c>
      <c r="AB414" t="s">
        <v>5869</v>
      </c>
      <c r="AC414" t="s">
        <v>74</v>
      </c>
      <c r="AD414" t="s">
        <v>74</v>
      </c>
      <c r="AE414" t="s">
        <v>74</v>
      </c>
      <c r="AF414" t="s">
        <v>74</v>
      </c>
      <c r="AG414">
        <v>30</v>
      </c>
      <c r="AH414">
        <v>40</v>
      </c>
      <c r="AI414">
        <v>43</v>
      </c>
      <c r="AJ414">
        <v>0</v>
      </c>
      <c r="AK414">
        <v>29</v>
      </c>
      <c r="AL414" t="s">
        <v>560</v>
      </c>
      <c r="AM414" t="s">
        <v>561</v>
      </c>
      <c r="AN414" t="s">
        <v>603</v>
      </c>
      <c r="AO414" t="s">
        <v>563</v>
      </c>
      <c r="AP414" t="s">
        <v>640</v>
      </c>
      <c r="AQ414" t="s">
        <v>74</v>
      </c>
      <c r="AR414" t="s">
        <v>564</v>
      </c>
      <c r="AS414" t="s">
        <v>565</v>
      </c>
      <c r="AT414" t="s">
        <v>5744</v>
      </c>
      <c r="AU414">
        <v>2002</v>
      </c>
      <c r="AV414">
        <v>14</v>
      </c>
      <c r="AW414">
        <v>4</v>
      </c>
      <c r="AX414" t="s">
        <v>74</v>
      </c>
      <c r="AY414" t="s">
        <v>74</v>
      </c>
      <c r="AZ414" t="s">
        <v>74</v>
      </c>
      <c r="BA414" t="s">
        <v>74</v>
      </c>
      <c r="BB414">
        <v>327</v>
      </c>
      <c r="BC414">
        <v>332</v>
      </c>
      <c r="BD414" t="s">
        <v>74</v>
      </c>
      <c r="BE414" t="s">
        <v>5870</v>
      </c>
      <c r="BF414" t="str">
        <f>HYPERLINK("http://dx.doi.org/10.1017/S0954102002000184","http://dx.doi.org/10.1017/S0954102002000184")</f>
        <v>http://dx.doi.org/10.1017/S0954102002000184</v>
      </c>
      <c r="BG414" t="s">
        <v>74</v>
      </c>
      <c r="BH414" t="s">
        <v>74</v>
      </c>
      <c r="BI414">
        <v>6</v>
      </c>
      <c r="BJ414" t="s">
        <v>568</v>
      </c>
      <c r="BK414" t="s">
        <v>569</v>
      </c>
      <c r="BL414" t="s">
        <v>570</v>
      </c>
      <c r="BM414" t="s">
        <v>5829</v>
      </c>
      <c r="BN414" t="s">
        <v>74</v>
      </c>
      <c r="BO414" t="s">
        <v>74</v>
      </c>
      <c r="BP414" t="s">
        <v>74</v>
      </c>
      <c r="BQ414" t="s">
        <v>74</v>
      </c>
      <c r="BR414" t="s">
        <v>98</v>
      </c>
      <c r="BS414" t="s">
        <v>5871</v>
      </c>
      <c r="BT414" t="str">
        <f>HYPERLINK("https%3A%2F%2Fwww.webofscience.com%2Fwos%2Fwoscc%2Ffull-record%2FWOS:000181258200005","View Full Record in Web of Science")</f>
        <v>View Full Record in Web of Science</v>
      </c>
    </row>
    <row r="415" spans="1:72" x14ac:dyDescent="0.15">
      <c r="A415" t="s">
        <v>552</v>
      </c>
      <c r="B415" t="s">
        <v>5872</v>
      </c>
      <c r="C415" t="s">
        <v>74</v>
      </c>
      <c r="D415" t="s">
        <v>74</v>
      </c>
      <c r="E415" t="s">
        <v>74</v>
      </c>
      <c r="F415" t="s">
        <v>5872</v>
      </c>
      <c r="G415" t="s">
        <v>74</v>
      </c>
      <c r="H415" t="s">
        <v>74</v>
      </c>
      <c r="I415" t="s">
        <v>5873</v>
      </c>
      <c r="J415" t="s">
        <v>555</v>
      </c>
      <c r="K415" t="s">
        <v>74</v>
      </c>
      <c r="L415" t="s">
        <v>74</v>
      </c>
      <c r="M415" t="s">
        <v>78</v>
      </c>
      <c r="N415" t="s">
        <v>775</v>
      </c>
      <c r="O415" t="s">
        <v>74</v>
      </c>
      <c r="P415" t="s">
        <v>74</v>
      </c>
      <c r="Q415" t="s">
        <v>74</v>
      </c>
      <c r="R415" t="s">
        <v>74</v>
      </c>
      <c r="S415" t="s">
        <v>74</v>
      </c>
      <c r="T415" t="s">
        <v>5874</v>
      </c>
      <c r="U415" t="s">
        <v>5875</v>
      </c>
      <c r="V415" t="s">
        <v>5876</v>
      </c>
      <c r="W415" t="s">
        <v>5877</v>
      </c>
      <c r="X415" t="s">
        <v>5878</v>
      </c>
      <c r="Y415" t="s">
        <v>5879</v>
      </c>
      <c r="Z415" t="s">
        <v>74</v>
      </c>
      <c r="AA415" t="s">
        <v>74</v>
      </c>
      <c r="AB415" t="s">
        <v>5880</v>
      </c>
      <c r="AC415" t="s">
        <v>74</v>
      </c>
      <c r="AD415" t="s">
        <v>74</v>
      </c>
      <c r="AE415" t="s">
        <v>74</v>
      </c>
      <c r="AF415" t="s">
        <v>74</v>
      </c>
      <c r="AG415">
        <v>43</v>
      </c>
      <c r="AH415">
        <v>11</v>
      </c>
      <c r="AI415">
        <v>13</v>
      </c>
      <c r="AJ415">
        <v>1</v>
      </c>
      <c r="AK415">
        <v>7</v>
      </c>
      <c r="AL415" t="s">
        <v>560</v>
      </c>
      <c r="AM415" t="s">
        <v>561</v>
      </c>
      <c r="AN415" t="s">
        <v>3082</v>
      </c>
      <c r="AO415" t="s">
        <v>563</v>
      </c>
      <c r="AP415" t="s">
        <v>74</v>
      </c>
      <c r="AQ415" t="s">
        <v>74</v>
      </c>
      <c r="AR415" t="s">
        <v>564</v>
      </c>
      <c r="AS415" t="s">
        <v>565</v>
      </c>
      <c r="AT415" t="s">
        <v>5744</v>
      </c>
      <c r="AU415">
        <v>2002</v>
      </c>
      <c r="AV415">
        <v>14</v>
      </c>
      <c r="AW415">
        <v>4</v>
      </c>
      <c r="AX415" t="s">
        <v>74</v>
      </c>
      <c r="AY415" t="s">
        <v>74</v>
      </c>
      <c r="AZ415" t="s">
        <v>74</v>
      </c>
      <c r="BA415" t="s">
        <v>74</v>
      </c>
      <c r="BB415">
        <v>333</v>
      </c>
      <c r="BC415">
        <v>342</v>
      </c>
      <c r="BD415" t="s">
        <v>74</v>
      </c>
      <c r="BE415" t="s">
        <v>5881</v>
      </c>
      <c r="BF415" t="str">
        <f>HYPERLINK("http://dx.doi.org/10.1017/S0954102002000159","http://dx.doi.org/10.1017/S0954102002000159")</f>
        <v>http://dx.doi.org/10.1017/S0954102002000159</v>
      </c>
      <c r="BG415" t="s">
        <v>74</v>
      </c>
      <c r="BH415" t="s">
        <v>74</v>
      </c>
      <c r="BI415">
        <v>10</v>
      </c>
      <c r="BJ415" t="s">
        <v>568</v>
      </c>
      <c r="BK415" t="s">
        <v>569</v>
      </c>
      <c r="BL415" t="s">
        <v>570</v>
      </c>
      <c r="BM415" t="s">
        <v>5829</v>
      </c>
      <c r="BN415" t="s">
        <v>74</v>
      </c>
      <c r="BO415" t="s">
        <v>74</v>
      </c>
      <c r="BP415" t="s">
        <v>74</v>
      </c>
      <c r="BQ415" t="s">
        <v>74</v>
      </c>
      <c r="BR415" t="s">
        <v>98</v>
      </c>
      <c r="BS415" t="s">
        <v>5882</v>
      </c>
      <c r="BT415" t="str">
        <f>HYPERLINK("https%3A%2F%2Fwww.webofscience.com%2Fwos%2Fwoscc%2Ffull-record%2FWOS:000181258200006","View Full Record in Web of Science")</f>
        <v>View Full Record in Web of Science</v>
      </c>
    </row>
    <row r="416" spans="1:72" x14ac:dyDescent="0.15">
      <c r="A416" t="s">
        <v>552</v>
      </c>
      <c r="B416" t="s">
        <v>352</v>
      </c>
      <c r="C416" t="s">
        <v>74</v>
      </c>
      <c r="D416" t="s">
        <v>74</v>
      </c>
      <c r="E416" t="s">
        <v>74</v>
      </c>
      <c r="F416" t="s">
        <v>352</v>
      </c>
      <c r="G416" t="s">
        <v>74</v>
      </c>
      <c r="H416" t="s">
        <v>74</v>
      </c>
      <c r="I416" t="s">
        <v>5883</v>
      </c>
      <c r="J416" t="s">
        <v>555</v>
      </c>
      <c r="K416" t="s">
        <v>74</v>
      </c>
      <c r="L416" t="s">
        <v>74</v>
      </c>
      <c r="M416" t="s">
        <v>78</v>
      </c>
      <c r="N416" t="s">
        <v>775</v>
      </c>
      <c r="O416" t="s">
        <v>74</v>
      </c>
      <c r="P416" t="s">
        <v>74</v>
      </c>
      <c r="Q416" t="s">
        <v>74</v>
      </c>
      <c r="R416" t="s">
        <v>74</v>
      </c>
      <c r="S416" t="s">
        <v>74</v>
      </c>
      <c r="T416" t="s">
        <v>5884</v>
      </c>
      <c r="U416" t="s">
        <v>5885</v>
      </c>
      <c r="V416" t="s">
        <v>5886</v>
      </c>
      <c r="W416" t="s">
        <v>5887</v>
      </c>
      <c r="X416" t="s">
        <v>5888</v>
      </c>
      <c r="Y416" t="s">
        <v>359</v>
      </c>
      <c r="Z416" t="s">
        <v>74</v>
      </c>
      <c r="AA416" t="s">
        <v>74</v>
      </c>
      <c r="AB416" t="s">
        <v>74</v>
      </c>
      <c r="AC416" t="s">
        <v>74</v>
      </c>
      <c r="AD416" t="s">
        <v>74</v>
      </c>
      <c r="AE416" t="s">
        <v>74</v>
      </c>
      <c r="AF416" t="s">
        <v>74</v>
      </c>
      <c r="AG416">
        <v>34</v>
      </c>
      <c r="AH416">
        <v>22</v>
      </c>
      <c r="AI416">
        <v>24</v>
      </c>
      <c r="AJ416">
        <v>0</v>
      </c>
      <c r="AK416">
        <v>6</v>
      </c>
      <c r="AL416" t="s">
        <v>560</v>
      </c>
      <c r="AM416" t="s">
        <v>561</v>
      </c>
      <c r="AN416" t="s">
        <v>603</v>
      </c>
      <c r="AO416" t="s">
        <v>563</v>
      </c>
      <c r="AP416" t="s">
        <v>640</v>
      </c>
      <c r="AQ416" t="s">
        <v>74</v>
      </c>
      <c r="AR416" t="s">
        <v>564</v>
      </c>
      <c r="AS416" t="s">
        <v>565</v>
      </c>
      <c r="AT416" t="s">
        <v>5744</v>
      </c>
      <c r="AU416">
        <v>2002</v>
      </c>
      <c r="AV416">
        <v>14</v>
      </c>
      <c r="AW416">
        <v>4</v>
      </c>
      <c r="AX416" t="s">
        <v>74</v>
      </c>
      <c r="AY416" t="s">
        <v>74</v>
      </c>
      <c r="AZ416" t="s">
        <v>74</v>
      </c>
      <c r="BA416" t="s">
        <v>74</v>
      </c>
      <c r="BB416">
        <v>343</v>
      </c>
      <c r="BC416">
        <v>352</v>
      </c>
      <c r="BD416" t="s">
        <v>74</v>
      </c>
      <c r="BE416" t="s">
        <v>5889</v>
      </c>
      <c r="BF416" t="str">
        <f>HYPERLINK("http://dx.doi.org/10.1017/S0954102002000123","http://dx.doi.org/10.1017/S0954102002000123")</f>
        <v>http://dx.doi.org/10.1017/S0954102002000123</v>
      </c>
      <c r="BG416" t="s">
        <v>74</v>
      </c>
      <c r="BH416" t="s">
        <v>74</v>
      </c>
      <c r="BI416">
        <v>10</v>
      </c>
      <c r="BJ416" t="s">
        <v>568</v>
      </c>
      <c r="BK416" t="s">
        <v>569</v>
      </c>
      <c r="BL416" t="s">
        <v>570</v>
      </c>
      <c r="BM416" t="s">
        <v>5829</v>
      </c>
      <c r="BN416" t="s">
        <v>74</v>
      </c>
      <c r="BO416" t="s">
        <v>74</v>
      </c>
      <c r="BP416" t="s">
        <v>74</v>
      </c>
      <c r="BQ416" t="s">
        <v>74</v>
      </c>
      <c r="BR416" t="s">
        <v>98</v>
      </c>
      <c r="BS416" t="s">
        <v>5890</v>
      </c>
      <c r="BT416" t="str">
        <f>HYPERLINK("https%3A%2F%2Fwww.webofscience.com%2Fwos%2Fwoscc%2Ffull-record%2FWOS:000181258200007","View Full Record in Web of Science")</f>
        <v>View Full Record in Web of Science</v>
      </c>
    </row>
    <row r="417" spans="1:72" x14ac:dyDescent="0.15">
      <c r="A417" t="s">
        <v>552</v>
      </c>
      <c r="B417" t="s">
        <v>5891</v>
      </c>
      <c r="C417" t="s">
        <v>74</v>
      </c>
      <c r="D417" t="s">
        <v>74</v>
      </c>
      <c r="E417" t="s">
        <v>74</v>
      </c>
      <c r="F417" t="s">
        <v>5891</v>
      </c>
      <c r="G417" t="s">
        <v>74</v>
      </c>
      <c r="H417" t="s">
        <v>74</v>
      </c>
      <c r="I417" t="s">
        <v>5892</v>
      </c>
      <c r="J417" t="s">
        <v>555</v>
      </c>
      <c r="K417" t="s">
        <v>74</v>
      </c>
      <c r="L417" t="s">
        <v>74</v>
      </c>
      <c r="M417" t="s">
        <v>78</v>
      </c>
      <c r="N417" t="s">
        <v>775</v>
      </c>
      <c r="O417" t="s">
        <v>74</v>
      </c>
      <c r="P417" t="s">
        <v>74</v>
      </c>
      <c r="Q417" t="s">
        <v>74</v>
      </c>
      <c r="R417" t="s">
        <v>74</v>
      </c>
      <c r="S417" t="s">
        <v>74</v>
      </c>
      <c r="T417" t="s">
        <v>5893</v>
      </c>
      <c r="U417" t="s">
        <v>74</v>
      </c>
      <c r="V417" t="s">
        <v>5894</v>
      </c>
      <c r="W417" t="s">
        <v>5895</v>
      </c>
      <c r="X417" t="s">
        <v>5896</v>
      </c>
      <c r="Y417" t="s">
        <v>5897</v>
      </c>
      <c r="Z417" t="s">
        <v>74</v>
      </c>
      <c r="AA417" t="s">
        <v>5898</v>
      </c>
      <c r="AB417" t="s">
        <v>5899</v>
      </c>
      <c r="AC417" t="s">
        <v>74</v>
      </c>
      <c r="AD417" t="s">
        <v>74</v>
      </c>
      <c r="AE417" t="s">
        <v>74</v>
      </c>
      <c r="AF417" t="s">
        <v>74</v>
      </c>
      <c r="AG417">
        <v>52</v>
      </c>
      <c r="AH417">
        <v>6</v>
      </c>
      <c r="AI417">
        <v>6</v>
      </c>
      <c r="AJ417">
        <v>0</v>
      </c>
      <c r="AK417">
        <v>8</v>
      </c>
      <c r="AL417" t="s">
        <v>560</v>
      </c>
      <c r="AM417" t="s">
        <v>561</v>
      </c>
      <c r="AN417" t="s">
        <v>3082</v>
      </c>
      <c r="AO417" t="s">
        <v>563</v>
      </c>
      <c r="AP417" t="s">
        <v>74</v>
      </c>
      <c r="AQ417" t="s">
        <v>74</v>
      </c>
      <c r="AR417" t="s">
        <v>564</v>
      </c>
      <c r="AS417" t="s">
        <v>565</v>
      </c>
      <c r="AT417" t="s">
        <v>5744</v>
      </c>
      <c r="AU417">
        <v>2002</v>
      </c>
      <c r="AV417">
        <v>14</v>
      </c>
      <c r="AW417">
        <v>4</v>
      </c>
      <c r="AX417" t="s">
        <v>74</v>
      </c>
      <c r="AY417" t="s">
        <v>74</v>
      </c>
      <c r="AZ417" t="s">
        <v>74</v>
      </c>
      <c r="BA417" t="s">
        <v>74</v>
      </c>
      <c r="BB417">
        <v>353</v>
      </c>
      <c r="BC417">
        <v>363</v>
      </c>
      <c r="BD417" t="s">
        <v>74</v>
      </c>
      <c r="BE417" t="s">
        <v>5900</v>
      </c>
      <c r="BF417" t="str">
        <f>HYPERLINK("http://dx.doi.org/10.1017/S0954102002000172","http://dx.doi.org/10.1017/S0954102002000172")</f>
        <v>http://dx.doi.org/10.1017/S0954102002000172</v>
      </c>
      <c r="BG417" t="s">
        <v>74</v>
      </c>
      <c r="BH417" t="s">
        <v>74</v>
      </c>
      <c r="BI417">
        <v>11</v>
      </c>
      <c r="BJ417" t="s">
        <v>568</v>
      </c>
      <c r="BK417" t="s">
        <v>569</v>
      </c>
      <c r="BL417" t="s">
        <v>570</v>
      </c>
      <c r="BM417" t="s">
        <v>5829</v>
      </c>
      <c r="BN417" t="s">
        <v>74</v>
      </c>
      <c r="BO417" t="s">
        <v>74</v>
      </c>
      <c r="BP417" t="s">
        <v>74</v>
      </c>
      <c r="BQ417" t="s">
        <v>74</v>
      </c>
      <c r="BR417" t="s">
        <v>98</v>
      </c>
      <c r="BS417" t="s">
        <v>5901</v>
      </c>
      <c r="BT417" t="str">
        <f>HYPERLINK("https%3A%2F%2Fwww.webofscience.com%2Fwos%2Fwoscc%2Ffull-record%2FWOS:000181258200008","View Full Record in Web of Science")</f>
        <v>View Full Record in Web of Science</v>
      </c>
    </row>
    <row r="418" spans="1:72" x14ac:dyDescent="0.15">
      <c r="A418" t="s">
        <v>552</v>
      </c>
      <c r="B418" t="s">
        <v>5902</v>
      </c>
      <c r="C418" t="s">
        <v>74</v>
      </c>
      <c r="D418" t="s">
        <v>74</v>
      </c>
      <c r="E418" t="s">
        <v>74</v>
      </c>
      <c r="F418" t="s">
        <v>5902</v>
      </c>
      <c r="G418" t="s">
        <v>74</v>
      </c>
      <c r="H418" t="s">
        <v>74</v>
      </c>
      <c r="I418" t="s">
        <v>5903</v>
      </c>
      <c r="J418" t="s">
        <v>555</v>
      </c>
      <c r="K418" t="s">
        <v>74</v>
      </c>
      <c r="L418" t="s">
        <v>74</v>
      </c>
      <c r="M418" t="s">
        <v>78</v>
      </c>
      <c r="N418" t="s">
        <v>775</v>
      </c>
      <c r="O418" t="s">
        <v>74</v>
      </c>
      <c r="P418" t="s">
        <v>74</v>
      </c>
      <c r="Q418" t="s">
        <v>74</v>
      </c>
      <c r="R418" t="s">
        <v>74</v>
      </c>
      <c r="S418" t="s">
        <v>74</v>
      </c>
      <c r="T418" t="s">
        <v>5904</v>
      </c>
      <c r="U418" t="s">
        <v>5905</v>
      </c>
      <c r="V418" t="s">
        <v>5906</v>
      </c>
      <c r="W418" t="s">
        <v>5907</v>
      </c>
      <c r="X418" t="s">
        <v>5908</v>
      </c>
      <c r="Y418" t="s">
        <v>5909</v>
      </c>
      <c r="Z418" t="s">
        <v>74</v>
      </c>
      <c r="AA418" t="s">
        <v>5910</v>
      </c>
      <c r="AB418" t="s">
        <v>5911</v>
      </c>
      <c r="AC418" t="s">
        <v>74</v>
      </c>
      <c r="AD418" t="s">
        <v>74</v>
      </c>
      <c r="AE418" t="s">
        <v>74</v>
      </c>
      <c r="AF418" t="s">
        <v>74</v>
      </c>
      <c r="AG418">
        <v>52</v>
      </c>
      <c r="AH418">
        <v>34</v>
      </c>
      <c r="AI418">
        <v>37</v>
      </c>
      <c r="AJ418">
        <v>0</v>
      </c>
      <c r="AK418">
        <v>8</v>
      </c>
      <c r="AL418" t="s">
        <v>560</v>
      </c>
      <c r="AM418" t="s">
        <v>561</v>
      </c>
      <c r="AN418" t="s">
        <v>3082</v>
      </c>
      <c r="AO418" t="s">
        <v>563</v>
      </c>
      <c r="AP418" t="s">
        <v>74</v>
      </c>
      <c r="AQ418" t="s">
        <v>74</v>
      </c>
      <c r="AR418" t="s">
        <v>564</v>
      </c>
      <c r="AS418" t="s">
        <v>565</v>
      </c>
      <c r="AT418" t="s">
        <v>5744</v>
      </c>
      <c r="AU418">
        <v>2002</v>
      </c>
      <c r="AV418">
        <v>14</v>
      </c>
      <c r="AW418">
        <v>4</v>
      </c>
      <c r="AX418" t="s">
        <v>74</v>
      </c>
      <c r="AY418" t="s">
        <v>74</v>
      </c>
      <c r="AZ418" t="s">
        <v>74</v>
      </c>
      <c r="BA418" t="s">
        <v>74</v>
      </c>
      <c r="BB418">
        <v>364</v>
      </c>
      <c r="BC418">
        <v>373</v>
      </c>
      <c r="BD418" t="s">
        <v>74</v>
      </c>
      <c r="BE418" t="s">
        <v>5912</v>
      </c>
      <c r="BF418" t="str">
        <f>HYPERLINK("http://dx.doi.org/10.1017/S0954102002000238","http://dx.doi.org/10.1017/S0954102002000238")</f>
        <v>http://dx.doi.org/10.1017/S0954102002000238</v>
      </c>
      <c r="BG418" t="s">
        <v>74</v>
      </c>
      <c r="BH418" t="s">
        <v>74</v>
      </c>
      <c r="BI418">
        <v>10</v>
      </c>
      <c r="BJ418" t="s">
        <v>568</v>
      </c>
      <c r="BK418" t="s">
        <v>569</v>
      </c>
      <c r="BL418" t="s">
        <v>570</v>
      </c>
      <c r="BM418" t="s">
        <v>5829</v>
      </c>
      <c r="BN418" t="s">
        <v>74</v>
      </c>
      <c r="BO418" t="s">
        <v>74</v>
      </c>
      <c r="BP418" t="s">
        <v>74</v>
      </c>
      <c r="BQ418" t="s">
        <v>74</v>
      </c>
      <c r="BR418" t="s">
        <v>98</v>
      </c>
      <c r="BS418" t="s">
        <v>5913</v>
      </c>
      <c r="BT418" t="str">
        <f>HYPERLINK("https%3A%2F%2Fwww.webofscience.com%2Fwos%2Fwoscc%2Ffull-record%2FWOS:000181258200009","View Full Record in Web of Science")</f>
        <v>View Full Record in Web of Science</v>
      </c>
    </row>
    <row r="419" spans="1:72" x14ac:dyDescent="0.15">
      <c r="A419" t="s">
        <v>552</v>
      </c>
      <c r="B419" t="s">
        <v>5914</v>
      </c>
      <c r="C419" t="s">
        <v>74</v>
      </c>
      <c r="D419" t="s">
        <v>74</v>
      </c>
      <c r="E419" t="s">
        <v>74</v>
      </c>
      <c r="F419" t="s">
        <v>5914</v>
      </c>
      <c r="G419" t="s">
        <v>74</v>
      </c>
      <c r="H419" t="s">
        <v>74</v>
      </c>
      <c r="I419" t="s">
        <v>5915</v>
      </c>
      <c r="J419" t="s">
        <v>555</v>
      </c>
      <c r="K419" t="s">
        <v>74</v>
      </c>
      <c r="L419" t="s">
        <v>74</v>
      </c>
      <c r="M419" t="s">
        <v>78</v>
      </c>
      <c r="N419" t="s">
        <v>775</v>
      </c>
      <c r="O419" t="s">
        <v>74</v>
      </c>
      <c r="P419" t="s">
        <v>74</v>
      </c>
      <c r="Q419" t="s">
        <v>74</v>
      </c>
      <c r="R419" t="s">
        <v>74</v>
      </c>
      <c r="S419" t="s">
        <v>74</v>
      </c>
      <c r="T419" t="s">
        <v>5916</v>
      </c>
      <c r="U419" t="s">
        <v>5917</v>
      </c>
      <c r="V419" t="s">
        <v>5918</v>
      </c>
      <c r="W419" t="s">
        <v>5919</v>
      </c>
      <c r="X419" t="s">
        <v>5920</v>
      </c>
      <c r="Y419" t="s">
        <v>5921</v>
      </c>
      <c r="Z419" t="s">
        <v>74</v>
      </c>
      <c r="AA419" t="s">
        <v>5922</v>
      </c>
      <c r="AB419" t="s">
        <v>5923</v>
      </c>
      <c r="AC419" t="s">
        <v>74</v>
      </c>
      <c r="AD419" t="s">
        <v>74</v>
      </c>
      <c r="AE419" t="s">
        <v>74</v>
      </c>
      <c r="AF419" t="s">
        <v>74</v>
      </c>
      <c r="AG419">
        <v>46</v>
      </c>
      <c r="AH419">
        <v>22</v>
      </c>
      <c r="AI419">
        <v>23</v>
      </c>
      <c r="AJ419">
        <v>0</v>
      </c>
      <c r="AK419">
        <v>24</v>
      </c>
      <c r="AL419" t="s">
        <v>560</v>
      </c>
      <c r="AM419" t="s">
        <v>561</v>
      </c>
      <c r="AN419" t="s">
        <v>3082</v>
      </c>
      <c r="AO419" t="s">
        <v>563</v>
      </c>
      <c r="AP419" t="s">
        <v>74</v>
      </c>
      <c r="AQ419" t="s">
        <v>74</v>
      </c>
      <c r="AR419" t="s">
        <v>564</v>
      </c>
      <c r="AS419" t="s">
        <v>565</v>
      </c>
      <c r="AT419" t="s">
        <v>5744</v>
      </c>
      <c r="AU419">
        <v>2002</v>
      </c>
      <c r="AV419">
        <v>14</v>
      </c>
      <c r="AW419">
        <v>4</v>
      </c>
      <c r="AX419" t="s">
        <v>74</v>
      </c>
      <c r="AY419" t="s">
        <v>74</v>
      </c>
      <c r="AZ419" t="s">
        <v>74</v>
      </c>
      <c r="BA419" t="s">
        <v>74</v>
      </c>
      <c r="BB419">
        <v>374</v>
      </c>
      <c r="BC419">
        <v>384</v>
      </c>
      <c r="BD419" t="s">
        <v>74</v>
      </c>
      <c r="BE419" t="s">
        <v>5924</v>
      </c>
      <c r="BF419" t="str">
        <f>HYPERLINK("http://dx.doi.org/10.1017/S0954102002000160","http://dx.doi.org/10.1017/S0954102002000160")</f>
        <v>http://dx.doi.org/10.1017/S0954102002000160</v>
      </c>
      <c r="BG419" t="s">
        <v>74</v>
      </c>
      <c r="BH419" t="s">
        <v>74</v>
      </c>
      <c r="BI419">
        <v>11</v>
      </c>
      <c r="BJ419" t="s">
        <v>568</v>
      </c>
      <c r="BK419" t="s">
        <v>569</v>
      </c>
      <c r="BL419" t="s">
        <v>570</v>
      </c>
      <c r="BM419" t="s">
        <v>5829</v>
      </c>
      <c r="BN419" t="s">
        <v>74</v>
      </c>
      <c r="BO419" t="s">
        <v>74</v>
      </c>
      <c r="BP419" t="s">
        <v>74</v>
      </c>
      <c r="BQ419" t="s">
        <v>74</v>
      </c>
      <c r="BR419" t="s">
        <v>98</v>
      </c>
      <c r="BS419" t="s">
        <v>5925</v>
      </c>
      <c r="BT419" t="str">
        <f>HYPERLINK("https%3A%2F%2Fwww.webofscience.com%2Fwos%2Fwoscc%2Ffull-record%2FWOS:000181258200010","View Full Record in Web of Science")</f>
        <v>View Full Record in Web of Science</v>
      </c>
    </row>
    <row r="420" spans="1:72" x14ac:dyDescent="0.15">
      <c r="A420" t="s">
        <v>552</v>
      </c>
      <c r="B420" t="s">
        <v>5926</v>
      </c>
      <c r="C420" t="s">
        <v>74</v>
      </c>
      <c r="D420" t="s">
        <v>74</v>
      </c>
      <c r="E420" t="s">
        <v>74</v>
      </c>
      <c r="F420" t="s">
        <v>5926</v>
      </c>
      <c r="G420" t="s">
        <v>74</v>
      </c>
      <c r="H420" t="s">
        <v>74</v>
      </c>
      <c r="I420" t="s">
        <v>5927</v>
      </c>
      <c r="J420" t="s">
        <v>555</v>
      </c>
      <c r="K420" t="s">
        <v>74</v>
      </c>
      <c r="L420" t="s">
        <v>74</v>
      </c>
      <c r="M420" t="s">
        <v>78</v>
      </c>
      <c r="N420" t="s">
        <v>775</v>
      </c>
      <c r="O420" t="s">
        <v>74</v>
      </c>
      <c r="P420" t="s">
        <v>74</v>
      </c>
      <c r="Q420" t="s">
        <v>74</v>
      </c>
      <c r="R420" t="s">
        <v>74</v>
      </c>
      <c r="S420" t="s">
        <v>74</v>
      </c>
      <c r="T420" t="s">
        <v>5928</v>
      </c>
      <c r="U420" t="s">
        <v>5929</v>
      </c>
      <c r="V420" t="s">
        <v>5930</v>
      </c>
      <c r="W420" t="s">
        <v>5931</v>
      </c>
      <c r="X420" t="s">
        <v>5932</v>
      </c>
      <c r="Y420" t="s">
        <v>5933</v>
      </c>
      <c r="Z420" t="s">
        <v>5934</v>
      </c>
      <c r="AA420" t="s">
        <v>5935</v>
      </c>
      <c r="AB420" t="s">
        <v>5936</v>
      </c>
      <c r="AC420" t="s">
        <v>74</v>
      </c>
      <c r="AD420" t="s">
        <v>74</v>
      </c>
      <c r="AE420" t="s">
        <v>74</v>
      </c>
      <c r="AF420" t="s">
        <v>74</v>
      </c>
      <c r="AG420">
        <v>29</v>
      </c>
      <c r="AH420">
        <v>25</v>
      </c>
      <c r="AI420">
        <v>26</v>
      </c>
      <c r="AJ420">
        <v>0</v>
      </c>
      <c r="AK420">
        <v>5</v>
      </c>
      <c r="AL420" t="s">
        <v>560</v>
      </c>
      <c r="AM420" t="s">
        <v>561</v>
      </c>
      <c r="AN420" t="s">
        <v>603</v>
      </c>
      <c r="AO420" t="s">
        <v>563</v>
      </c>
      <c r="AP420" t="s">
        <v>640</v>
      </c>
      <c r="AQ420" t="s">
        <v>74</v>
      </c>
      <c r="AR420" t="s">
        <v>564</v>
      </c>
      <c r="AS420" t="s">
        <v>565</v>
      </c>
      <c r="AT420" t="s">
        <v>5744</v>
      </c>
      <c r="AU420">
        <v>2002</v>
      </c>
      <c r="AV420">
        <v>14</v>
      </c>
      <c r="AW420">
        <v>4</v>
      </c>
      <c r="AX420" t="s">
        <v>74</v>
      </c>
      <c r="AY420" t="s">
        <v>74</v>
      </c>
      <c r="AZ420" t="s">
        <v>74</v>
      </c>
      <c r="BA420" t="s">
        <v>74</v>
      </c>
      <c r="BB420">
        <v>385</v>
      </c>
      <c r="BC420">
        <v>394</v>
      </c>
      <c r="BD420" t="s">
        <v>74</v>
      </c>
      <c r="BE420" t="s">
        <v>5937</v>
      </c>
      <c r="BF420" t="str">
        <f>HYPERLINK("http://dx.doi.org/10.1017/S0954102002000202","http://dx.doi.org/10.1017/S0954102002000202")</f>
        <v>http://dx.doi.org/10.1017/S0954102002000202</v>
      </c>
      <c r="BG420" t="s">
        <v>74</v>
      </c>
      <c r="BH420" t="s">
        <v>74</v>
      </c>
      <c r="BI420">
        <v>10</v>
      </c>
      <c r="BJ420" t="s">
        <v>568</v>
      </c>
      <c r="BK420" t="s">
        <v>569</v>
      </c>
      <c r="BL420" t="s">
        <v>570</v>
      </c>
      <c r="BM420" t="s">
        <v>5829</v>
      </c>
      <c r="BN420" t="s">
        <v>74</v>
      </c>
      <c r="BO420" t="s">
        <v>74</v>
      </c>
      <c r="BP420" t="s">
        <v>74</v>
      </c>
      <c r="BQ420" t="s">
        <v>74</v>
      </c>
      <c r="BR420" t="s">
        <v>98</v>
      </c>
      <c r="BS420" t="s">
        <v>5938</v>
      </c>
      <c r="BT420" t="str">
        <f>HYPERLINK("https%3A%2F%2Fwww.webofscience.com%2Fwos%2Fwoscc%2Ffull-record%2FWOS:000181258200011","View Full Record in Web of Science")</f>
        <v>View Full Record in Web of Science</v>
      </c>
    </row>
    <row r="421" spans="1:72" x14ac:dyDescent="0.15">
      <c r="A421" t="s">
        <v>552</v>
      </c>
      <c r="B421" t="s">
        <v>5939</v>
      </c>
      <c r="C421" t="s">
        <v>74</v>
      </c>
      <c r="D421" t="s">
        <v>74</v>
      </c>
      <c r="E421" t="s">
        <v>74</v>
      </c>
      <c r="F421" t="s">
        <v>5939</v>
      </c>
      <c r="G421" t="s">
        <v>74</v>
      </c>
      <c r="H421" t="s">
        <v>74</v>
      </c>
      <c r="I421" t="s">
        <v>5940</v>
      </c>
      <c r="J421" t="s">
        <v>555</v>
      </c>
      <c r="K421" t="s">
        <v>74</v>
      </c>
      <c r="L421" t="s">
        <v>74</v>
      </c>
      <c r="M421" t="s">
        <v>78</v>
      </c>
      <c r="N421" t="s">
        <v>775</v>
      </c>
      <c r="O421" t="s">
        <v>74</v>
      </c>
      <c r="P421" t="s">
        <v>74</v>
      </c>
      <c r="Q421" t="s">
        <v>74</v>
      </c>
      <c r="R421" t="s">
        <v>74</v>
      </c>
      <c r="S421" t="s">
        <v>74</v>
      </c>
      <c r="T421" t="s">
        <v>5941</v>
      </c>
      <c r="U421" t="s">
        <v>5942</v>
      </c>
      <c r="V421" t="s">
        <v>5943</v>
      </c>
      <c r="W421" t="s">
        <v>5944</v>
      </c>
      <c r="X421" t="s">
        <v>5945</v>
      </c>
      <c r="Y421" t="s">
        <v>5946</v>
      </c>
      <c r="Z421" t="s">
        <v>74</v>
      </c>
      <c r="AA421" t="s">
        <v>5947</v>
      </c>
      <c r="AB421" t="s">
        <v>5948</v>
      </c>
      <c r="AC421" t="s">
        <v>74</v>
      </c>
      <c r="AD421" t="s">
        <v>74</v>
      </c>
      <c r="AE421" t="s">
        <v>74</v>
      </c>
      <c r="AF421" t="s">
        <v>74</v>
      </c>
      <c r="AG421">
        <v>31</v>
      </c>
      <c r="AH421">
        <v>13</v>
      </c>
      <c r="AI421">
        <v>14</v>
      </c>
      <c r="AJ421">
        <v>0</v>
      </c>
      <c r="AK421">
        <v>9</v>
      </c>
      <c r="AL421" t="s">
        <v>560</v>
      </c>
      <c r="AM421" t="s">
        <v>561</v>
      </c>
      <c r="AN421" t="s">
        <v>603</v>
      </c>
      <c r="AO421" t="s">
        <v>563</v>
      </c>
      <c r="AP421" t="s">
        <v>640</v>
      </c>
      <c r="AQ421" t="s">
        <v>74</v>
      </c>
      <c r="AR421" t="s">
        <v>564</v>
      </c>
      <c r="AS421" t="s">
        <v>565</v>
      </c>
      <c r="AT421" t="s">
        <v>5744</v>
      </c>
      <c r="AU421">
        <v>2002</v>
      </c>
      <c r="AV421">
        <v>14</v>
      </c>
      <c r="AW421">
        <v>4</v>
      </c>
      <c r="AX421" t="s">
        <v>74</v>
      </c>
      <c r="AY421" t="s">
        <v>74</v>
      </c>
      <c r="AZ421" t="s">
        <v>74</v>
      </c>
      <c r="BA421" t="s">
        <v>74</v>
      </c>
      <c r="BB421">
        <v>395</v>
      </c>
      <c r="BC421">
        <v>411</v>
      </c>
      <c r="BD421" t="s">
        <v>74</v>
      </c>
      <c r="BE421" t="s">
        <v>5949</v>
      </c>
      <c r="BF421" t="str">
        <f>HYPERLINK("http://dx.doi.org/10.1017/S0954102002000196","http://dx.doi.org/10.1017/S0954102002000196")</f>
        <v>http://dx.doi.org/10.1017/S0954102002000196</v>
      </c>
      <c r="BG421" t="s">
        <v>74</v>
      </c>
      <c r="BH421" t="s">
        <v>74</v>
      </c>
      <c r="BI421">
        <v>17</v>
      </c>
      <c r="BJ421" t="s">
        <v>568</v>
      </c>
      <c r="BK421" t="s">
        <v>569</v>
      </c>
      <c r="BL421" t="s">
        <v>570</v>
      </c>
      <c r="BM421" t="s">
        <v>5829</v>
      </c>
      <c r="BN421" t="s">
        <v>74</v>
      </c>
      <c r="BO421" t="s">
        <v>74</v>
      </c>
      <c r="BP421" t="s">
        <v>74</v>
      </c>
      <c r="BQ421" t="s">
        <v>74</v>
      </c>
      <c r="BR421" t="s">
        <v>98</v>
      </c>
      <c r="BS421" t="s">
        <v>5950</v>
      </c>
      <c r="BT421" t="str">
        <f>HYPERLINK("https%3A%2F%2Fwww.webofscience.com%2Fwos%2Fwoscc%2Ffull-record%2FWOS:000181258200012","View Full Record in Web of Science")</f>
        <v>View Full Record in Web of Science</v>
      </c>
    </row>
    <row r="422" spans="1:72" x14ac:dyDescent="0.15">
      <c r="A422" t="s">
        <v>552</v>
      </c>
      <c r="B422" t="s">
        <v>5951</v>
      </c>
      <c r="C422" t="s">
        <v>74</v>
      </c>
      <c r="D422" t="s">
        <v>74</v>
      </c>
      <c r="E422" t="s">
        <v>74</v>
      </c>
      <c r="F422" t="s">
        <v>5951</v>
      </c>
      <c r="G422" t="s">
        <v>74</v>
      </c>
      <c r="H422" t="s">
        <v>74</v>
      </c>
      <c r="I422" t="s">
        <v>5952</v>
      </c>
      <c r="J422" t="s">
        <v>555</v>
      </c>
      <c r="K422" t="s">
        <v>74</v>
      </c>
      <c r="L422" t="s">
        <v>74</v>
      </c>
      <c r="M422" t="s">
        <v>78</v>
      </c>
      <c r="N422" t="s">
        <v>775</v>
      </c>
      <c r="O422" t="s">
        <v>74</v>
      </c>
      <c r="P422" t="s">
        <v>74</v>
      </c>
      <c r="Q422" t="s">
        <v>74</v>
      </c>
      <c r="R422" t="s">
        <v>74</v>
      </c>
      <c r="S422" t="s">
        <v>74</v>
      </c>
      <c r="T422" t="s">
        <v>5953</v>
      </c>
      <c r="U422" t="s">
        <v>5954</v>
      </c>
      <c r="V422" t="s">
        <v>5955</v>
      </c>
      <c r="W422" t="s">
        <v>5956</v>
      </c>
      <c r="X422" t="s">
        <v>5957</v>
      </c>
      <c r="Y422" t="s">
        <v>5958</v>
      </c>
      <c r="Z422" t="s">
        <v>74</v>
      </c>
      <c r="AA422" t="s">
        <v>74</v>
      </c>
      <c r="AB422" t="s">
        <v>74</v>
      </c>
      <c r="AC422" t="s">
        <v>74</v>
      </c>
      <c r="AD422" t="s">
        <v>74</v>
      </c>
      <c r="AE422" t="s">
        <v>74</v>
      </c>
      <c r="AF422" t="s">
        <v>74</v>
      </c>
      <c r="AG422">
        <v>25</v>
      </c>
      <c r="AH422">
        <v>32</v>
      </c>
      <c r="AI422">
        <v>35</v>
      </c>
      <c r="AJ422">
        <v>0</v>
      </c>
      <c r="AK422">
        <v>10</v>
      </c>
      <c r="AL422" t="s">
        <v>560</v>
      </c>
      <c r="AM422" t="s">
        <v>561</v>
      </c>
      <c r="AN422" t="s">
        <v>3082</v>
      </c>
      <c r="AO422" t="s">
        <v>563</v>
      </c>
      <c r="AP422" t="s">
        <v>74</v>
      </c>
      <c r="AQ422" t="s">
        <v>74</v>
      </c>
      <c r="AR422" t="s">
        <v>564</v>
      </c>
      <c r="AS422" t="s">
        <v>565</v>
      </c>
      <c r="AT422" t="s">
        <v>5744</v>
      </c>
      <c r="AU422">
        <v>2002</v>
      </c>
      <c r="AV422">
        <v>14</v>
      </c>
      <c r="AW422">
        <v>4</v>
      </c>
      <c r="AX422" t="s">
        <v>74</v>
      </c>
      <c r="AY422" t="s">
        <v>74</v>
      </c>
      <c r="AZ422" t="s">
        <v>74</v>
      </c>
      <c r="BA422" t="s">
        <v>74</v>
      </c>
      <c r="BB422">
        <v>412</v>
      </c>
      <c r="BC422">
        <v>421</v>
      </c>
      <c r="BD422" t="s">
        <v>74</v>
      </c>
      <c r="BE422" t="s">
        <v>5959</v>
      </c>
      <c r="BF422" t="str">
        <f>HYPERLINK("http://dx.doi.org/10.1017/S0954102002000214","http://dx.doi.org/10.1017/S0954102002000214")</f>
        <v>http://dx.doi.org/10.1017/S0954102002000214</v>
      </c>
      <c r="BG422" t="s">
        <v>74</v>
      </c>
      <c r="BH422" t="s">
        <v>74</v>
      </c>
      <c r="BI422">
        <v>10</v>
      </c>
      <c r="BJ422" t="s">
        <v>568</v>
      </c>
      <c r="BK422" t="s">
        <v>569</v>
      </c>
      <c r="BL422" t="s">
        <v>570</v>
      </c>
      <c r="BM422" t="s">
        <v>5829</v>
      </c>
      <c r="BN422" t="s">
        <v>74</v>
      </c>
      <c r="BO422" t="s">
        <v>74</v>
      </c>
      <c r="BP422" t="s">
        <v>74</v>
      </c>
      <c r="BQ422" t="s">
        <v>74</v>
      </c>
      <c r="BR422" t="s">
        <v>98</v>
      </c>
      <c r="BS422" t="s">
        <v>5960</v>
      </c>
      <c r="BT422" t="str">
        <f>HYPERLINK("https%3A%2F%2Fwww.webofscience.com%2Fwos%2Fwoscc%2Ffull-record%2FWOS:000181258200013","View Full Record in Web of Science")</f>
        <v>View Full Record in Web of Science</v>
      </c>
    </row>
    <row r="423" spans="1:72" x14ac:dyDescent="0.15">
      <c r="A423" t="s">
        <v>552</v>
      </c>
      <c r="B423" t="s">
        <v>5961</v>
      </c>
      <c r="C423" t="s">
        <v>74</v>
      </c>
      <c r="D423" t="s">
        <v>74</v>
      </c>
      <c r="E423" t="s">
        <v>74</v>
      </c>
      <c r="F423" t="s">
        <v>5961</v>
      </c>
      <c r="G423" t="s">
        <v>74</v>
      </c>
      <c r="H423" t="s">
        <v>74</v>
      </c>
      <c r="I423" t="s">
        <v>5962</v>
      </c>
      <c r="J423" t="s">
        <v>555</v>
      </c>
      <c r="K423" t="s">
        <v>74</v>
      </c>
      <c r="L423" t="s">
        <v>74</v>
      </c>
      <c r="M423" t="s">
        <v>78</v>
      </c>
      <c r="N423" t="s">
        <v>775</v>
      </c>
      <c r="O423" t="s">
        <v>74</v>
      </c>
      <c r="P423" t="s">
        <v>74</v>
      </c>
      <c r="Q423" t="s">
        <v>74</v>
      </c>
      <c r="R423" t="s">
        <v>74</v>
      </c>
      <c r="S423" t="s">
        <v>74</v>
      </c>
      <c r="T423" t="s">
        <v>74</v>
      </c>
      <c r="U423" t="s">
        <v>74</v>
      </c>
      <c r="V423" t="s">
        <v>74</v>
      </c>
      <c r="W423" t="s">
        <v>5963</v>
      </c>
      <c r="X423" t="s">
        <v>5964</v>
      </c>
      <c r="Y423" t="s">
        <v>5965</v>
      </c>
      <c r="Z423" t="s">
        <v>74</v>
      </c>
      <c r="AA423" t="s">
        <v>74</v>
      </c>
      <c r="AB423" t="s">
        <v>74</v>
      </c>
      <c r="AC423" t="s">
        <v>74</v>
      </c>
      <c r="AD423" t="s">
        <v>74</v>
      </c>
      <c r="AE423" t="s">
        <v>74</v>
      </c>
      <c r="AF423" t="s">
        <v>74</v>
      </c>
      <c r="AG423">
        <v>8</v>
      </c>
      <c r="AH423">
        <v>10</v>
      </c>
      <c r="AI423">
        <v>10</v>
      </c>
      <c r="AJ423">
        <v>0</v>
      </c>
      <c r="AK423">
        <v>1</v>
      </c>
      <c r="AL423" t="s">
        <v>560</v>
      </c>
      <c r="AM423" t="s">
        <v>561</v>
      </c>
      <c r="AN423" t="s">
        <v>3082</v>
      </c>
      <c r="AO423" t="s">
        <v>563</v>
      </c>
      <c r="AP423" t="s">
        <v>74</v>
      </c>
      <c r="AQ423" t="s">
        <v>74</v>
      </c>
      <c r="AR423" t="s">
        <v>564</v>
      </c>
      <c r="AS423" t="s">
        <v>565</v>
      </c>
      <c r="AT423" t="s">
        <v>5744</v>
      </c>
      <c r="AU423">
        <v>2002</v>
      </c>
      <c r="AV423">
        <v>14</v>
      </c>
      <c r="AW423">
        <v>4</v>
      </c>
      <c r="AX423" t="s">
        <v>74</v>
      </c>
      <c r="AY423" t="s">
        <v>74</v>
      </c>
      <c r="AZ423" t="s">
        <v>74</v>
      </c>
      <c r="BA423" t="s">
        <v>74</v>
      </c>
      <c r="BB423">
        <v>422</v>
      </c>
      <c r="BC423">
        <v>424</v>
      </c>
      <c r="BD423" t="s">
        <v>74</v>
      </c>
      <c r="BE423" t="s">
        <v>5966</v>
      </c>
      <c r="BF423" t="str">
        <f>HYPERLINK("http://dx.doi.org/10.1017/S095410200200024X","http://dx.doi.org/10.1017/S095410200200024X")</f>
        <v>http://dx.doi.org/10.1017/S095410200200024X</v>
      </c>
      <c r="BG423" t="s">
        <v>74</v>
      </c>
      <c r="BH423" t="s">
        <v>74</v>
      </c>
      <c r="BI423">
        <v>3</v>
      </c>
      <c r="BJ423" t="s">
        <v>568</v>
      </c>
      <c r="BK423" t="s">
        <v>569</v>
      </c>
      <c r="BL423" t="s">
        <v>570</v>
      </c>
      <c r="BM423" t="s">
        <v>5829</v>
      </c>
      <c r="BN423" t="s">
        <v>74</v>
      </c>
      <c r="BO423" t="s">
        <v>74</v>
      </c>
      <c r="BP423" t="s">
        <v>74</v>
      </c>
      <c r="BQ423" t="s">
        <v>74</v>
      </c>
      <c r="BR423" t="s">
        <v>98</v>
      </c>
      <c r="BS423" t="s">
        <v>5967</v>
      </c>
      <c r="BT423" t="str">
        <f>HYPERLINK("https%3A%2F%2Fwww.webofscience.com%2Fwos%2Fwoscc%2Ffull-record%2FWOS:000181258200014","View Full Record in Web of Science")</f>
        <v>View Full Record in Web of Science</v>
      </c>
    </row>
    <row r="424" spans="1:72" x14ac:dyDescent="0.15">
      <c r="A424" t="s">
        <v>552</v>
      </c>
      <c r="B424" t="s">
        <v>5968</v>
      </c>
      <c r="C424" t="s">
        <v>74</v>
      </c>
      <c r="D424" t="s">
        <v>74</v>
      </c>
      <c r="E424" t="s">
        <v>74</v>
      </c>
      <c r="F424" t="s">
        <v>5968</v>
      </c>
      <c r="G424" t="s">
        <v>74</v>
      </c>
      <c r="H424" t="s">
        <v>74</v>
      </c>
      <c r="I424" t="s">
        <v>5969</v>
      </c>
      <c r="J424" t="s">
        <v>555</v>
      </c>
      <c r="K424" t="s">
        <v>74</v>
      </c>
      <c r="L424" t="s">
        <v>74</v>
      </c>
      <c r="M424" t="s">
        <v>78</v>
      </c>
      <c r="N424" t="s">
        <v>775</v>
      </c>
      <c r="O424" t="s">
        <v>74</v>
      </c>
      <c r="P424" t="s">
        <v>74</v>
      </c>
      <c r="Q424" t="s">
        <v>74</v>
      </c>
      <c r="R424" t="s">
        <v>74</v>
      </c>
      <c r="S424" t="s">
        <v>74</v>
      </c>
      <c r="T424" t="s">
        <v>74</v>
      </c>
      <c r="U424" t="s">
        <v>5970</v>
      </c>
      <c r="V424" t="s">
        <v>74</v>
      </c>
      <c r="W424" t="s">
        <v>5971</v>
      </c>
      <c r="X424" t="s">
        <v>3494</v>
      </c>
      <c r="Y424" t="s">
        <v>5972</v>
      </c>
      <c r="Z424" t="s">
        <v>74</v>
      </c>
      <c r="AA424" t="s">
        <v>74</v>
      </c>
      <c r="AB424" t="s">
        <v>74</v>
      </c>
      <c r="AC424" t="s">
        <v>74</v>
      </c>
      <c r="AD424" t="s">
        <v>74</v>
      </c>
      <c r="AE424" t="s">
        <v>74</v>
      </c>
      <c r="AF424" t="s">
        <v>74</v>
      </c>
      <c r="AG424">
        <v>9</v>
      </c>
      <c r="AH424">
        <v>13</v>
      </c>
      <c r="AI424">
        <v>14</v>
      </c>
      <c r="AJ424">
        <v>0</v>
      </c>
      <c r="AK424">
        <v>4</v>
      </c>
      <c r="AL424" t="s">
        <v>560</v>
      </c>
      <c r="AM424" t="s">
        <v>561</v>
      </c>
      <c r="AN424" t="s">
        <v>3082</v>
      </c>
      <c r="AO424" t="s">
        <v>563</v>
      </c>
      <c r="AP424" t="s">
        <v>74</v>
      </c>
      <c r="AQ424" t="s">
        <v>74</v>
      </c>
      <c r="AR424" t="s">
        <v>564</v>
      </c>
      <c r="AS424" t="s">
        <v>565</v>
      </c>
      <c r="AT424" t="s">
        <v>5744</v>
      </c>
      <c r="AU424">
        <v>2002</v>
      </c>
      <c r="AV424">
        <v>14</v>
      </c>
      <c r="AW424">
        <v>4</v>
      </c>
      <c r="AX424" t="s">
        <v>74</v>
      </c>
      <c r="AY424" t="s">
        <v>74</v>
      </c>
      <c r="AZ424" t="s">
        <v>74</v>
      </c>
      <c r="BA424" t="s">
        <v>74</v>
      </c>
      <c r="BB424">
        <v>425</v>
      </c>
      <c r="BC424">
        <v>426</v>
      </c>
      <c r="BD424" t="s">
        <v>74</v>
      </c>
      <c r="BE424" t="s">
        <v>5973</v>
      </c>
      <c r="BF424" t="str">
        <f>HYPERLINK("http://dx.doi.org/10.1017/S0954102002000226","http://dx.doi.org/10.1017/S0954102002000226")</f>
        <v>http://dx.doi.org/10.1017/S0954102002000226</v>
      </c>
      <c r="BG424" t="s">
        <v>74</v>
      </c>
      <c r="BH424" t="s">
        <v>74</v>
      </c>
      <c r="BI424">
        <v>2</v>
      </c>
      <c r="BJ424" t="s">
        <v>568</v>
      </c>
      <c r="BK424" t="s">
        <v>569</v>
      </c>
      <c r="BL424" t="s">
        <v>570</v>
      </c>
      <c r="BM424" t="s">
        <v>5829</v>
      </c>
      <c r="BN424" t="s">
        <v>74</v>
      </c>
      <c r="BO424" t="s">
        <v>74</v>
      </c>
      <c r="BP424" t="s">
        <v>74</v>
      </c>
      <c r="BQ424" t="s">
        <v>74</v>
      </c>
      <c r="BR424" t="s">
        <v>98</v>
      </c>
      <c r="BS424" t="s">
        <v>5974</v>
      </c>
      <c r="BT424" t="str">
        <f>HYPERLINK("https%3A%2F%2Fwww.webofscience.com%2Fwos%2Fwoscc%2Ffull-record%2FWOS:000181258200015","View Full Record in Web of Science")</f>
        <v>View Full Record in Web of Science</v>
      </c>
    </row>
    <row r="425" spans="1:72" x14ac:dyDescent="0.15">
      <c r="A425" t="s">
        <v>552</v>
      </c>
      <c r="B425" t="s">
        <v>5975</v>
      </c>
      <c r="C425" t="s">
        <v>74</v>
      </c>
      <c r="D425" t="s">
        <v>74</v>
      </c>
      <c r="E425" t="s">
        <v>74</v>
      </c>
      <c r="F425" t="s">
        <v>5975</v>
      </c>
      <c r="G425" t="s">
        <v>74</v>
      </c>
      <c r="H425" t="s">
        <v>74</v>
      </c>
      <c r="I425" t="s">
        <v>5976</v>
      </c>
      <c r="J425" t="s">
        <v>5977</v>
      </c>
      <c r="K425" t="s">
        <v>74</v>
      </c>
      <c r="L425" t="s">
        <v>74</v>
      </c>
      <c r="M425" t="s">
        <v>78</v>
      </c>
      <c r="N425" t="s">
        <v>775</v>
      </c>
      <c r="O425" t="s">
        <v>74</v>
      </c>
      <c r="P425" t="s">
        <v>74</v>
      </c>
      <c r="Q425" t="s">
        <v>74</v>
      </c>
      <c r="R425" t="s">
        <v>74</v>
      </c>
      <c r="S425" t="s">
        <v>74</v>
      </c>
      <c r="T425" t="s">
        <v>5978</v>
      </c>
      <c r="U425" t="s">
        <v>5979</v>
      </c>
      <c r="V425" t="s">
        <v>5980</v>
      </c>
      <c r="W425" t="s">
        <v>5981</v>
      </c>
      <c r="X425" t="s">
        <v>5982</v>
      </c>
      <c r="Y425" t="s">
        <v>5983</v>
      </c>
      <c r="Z425" t="s">
        <v>74</v>
      </c>
      <c r="AA425" t="s">
        <v>5984</v>
      </c>
      <c r="AB425" t="s">
        <v>5985</v>
      </c>
      <c r="AC425" t="s">
        <v>74</v>
      </c>
      <c r="AD425" t="s">
        <v>74</v>
      </c>
      <c r="AE425" t="s">
        <v>74</v>
      </c>
      <c r="AF425" t="s">
        <v>74</v>
      </c>
      <c r="AG425">
        <v>26</v>
      </c>
      <c r="AH425">
        <v>27</v>
      </c>
      <c r="AI425">
        <v>28</v>
      </c>
      <c r="AJ425">
        <v>0</v>
      </c>
      <c r="AK425">
        <v>3</v>
      </c>
      <c r="AL425" t="s">
        <v>4419</v>
      </c>
      <c r="AM425" t="s">
        <v>4420</v>
      </c>
      <c r="AN425" t="s">
        <v>4421</v>
      </c>
      <c r="AO425" t="s">
        <v>5986</v>
      </c>
      <c r="AP425" t="s">
        <v>74</v>
      </c>
      <c r="AQ425" t="s">
        <v>74</v>
      </c>
      <c r="AR425" t="s">
        <v>5987</v>
      </c>
      <c r="AS425" t="s">
        <v>5988</v>
      </c>
      <c r="AT425" t="s">
        <v>5989</v>
      </c>
      <c r="AU425">
        <v>2002</v>
      </c>
      <c r="AV425">
        <v>580</v>
      </c>
      <c r="AW425">
        <v>2</v>
      </c>
      <c r="AX425">
        <v>1</v>
      </c>
      <c r="AY425" t="s">
        <v>74</v>
      </c>
      <c r="AZ425" t="s">
        <v>74</v>
      </c>
      <c r="BA425" t="s">
        <v>74</v>
      </c>
      <c r="BB425">
        <v>896</v>
      </c>
      <c r="BC425">
        <v>903</v>
      </c>
      <c r="BD425" t="s">
        <v>74</v>
      </c>
      <c r="BE425" t="s">
        <v>5990</v>
      </c>
      <c r="BF425" t="str">
        <f>HYPERLINK("http://dx.doi.org/10.1086/343842","http://dx.doi.org/10.1086/343842")</f>
        <v>http://dx.doi.org/10.1086/343842</v>
      </c>
      <c r="BG425" t="s">
        <v>74</v>
      </c>
      <c r="BH425" t="s">
        <v>74</v>
      </c>
      <c r="BI425">
        <v>8</v>
      </c>
      <c r="BJ425" t="s">
        <v>4840</v>
      </c>
      <c r="BK425" t="s">
        <v>569</v>
      </c>
      <c r="BL425" t="s">
        <v>4840</v>
      </c>
      <c r="BM425" t="s">
        <v>5991</v>
      </c>
      <c r="BN425" t="s">
        <v>74</v>
      </c>
      <c r="BO425" t="s">
        <v>572</v>
      </c>
      <c r="BP425" t="s">
        <v>74</v>
      </c>
      <c r="BQ425" t="s">
        <v>74</v>
      </c>
      <c r="BR425" t="s">
        <v>98</v>
      </c>
      <c r="BS425" t="s">
        <v>5992</v>
      </c>
      <c r="BT425" t="str">
        <f>HYPERLINK("https%3A%2F%2Fwww.webofscience.com%2Fwos%2Fwoscc%2Ffull-record%2FWOS:000179458300024","View Full Record in Web of Science")</f>
        <v>View Full Record in Web of Science</v>
      </c>
    </row>
    <row r="426" spans="1:72" x14ac:dyDescent="0.15">
      <c r="A426" t="s">
        <v>552</v>
      </c>
      <c r="B426" t="s">
        <v>5993</v>
      </c>
      <c r="C426" t="s">
        <v>74</v>
      </c>
      <c r="D426" t="s">
        <v>74</v>
      </c>
      <c r="E426" t="s">
        <v>74</v>
      </c>
      <c r="F426" t="s">
        <v>5993</v>
      </c>
      <c r="G426" t="s">
        <v>74</v>
      </c>
      <c r="H426" t="s">
        <v>74</v>
      </c>
      <c r="I426" t="s">
        <v>5994</v>
      </c>
      <c r="J426" t="s">
        <v>5995</v>
      </c>
      <c r="K426" t="s">
        <v>74</v>
      </c>
      <c r="L426" t="s">
        <v>74</v>
      </c>
      <c r="M426" t="s">
        <v>78</v>
      </c>
      <c r="N426" t="s">
        <v>775</v>
      </c>
      <c r="O426" t="s">
        <v>74</v>
      </c>
      <c r="P426" t="s">
        <v>74</v>
      </c>
      <c r="Q426" t="s">
        <v>74</v>
      </c>
      <c r="R426" t="s">
        <v>74</v>
      </c>
      <c r="S426" t="s">
        <v>74</v>
      </c>
      <c r="T426" t="s">
        <v>74</v>
      </c>
      <c r="U426" t="s">
        <v>5996</v>
      </c>
      <c r="V426" t="s">
        <v>5997</v>
      </c>
      <c r="W426" t="s">
        <v>5998</v>
      </c>
      <c r="X426" t="s">
        <v>3456</v>
      </c>
      <c r="Y426" t="s">
        <v>5999</v>
      </c>
      <c r="Z426" t="s">
        <v>74</v>
      </c>
      <c r="AA426" t="s">
        <v>6000</v>
      </c>
      <c r="AB426" t="s">
        <v>74</v>
      </c>
      <c r="AC426" t="s">
        <v>74</v>
      </c>
      <c r="AD426" t="s">
        <v>74</v>
      </c>
      <c r="AE426" t="s">
        <v>74</v>
      </c>
      <c r="AF426" t="s">
        <v>74</v>
      </c>
      <c r="AG426">
        <v>23</v>
      </c>
      <c r="AH426">
        <v>43</v>
      </c>
      <c r="AI426">
        <v>53</v>
      </c>
      <c r="AJ426">
        <v>0</v>
      </c>
      <c r="AK426">
        <v>9</v>
      </c>
      <c r="AL426" t="s">
        <v>6001</v>
      </c>
      <c r="AM426" t="s">
        <v>1004</v>
      </c>
      <c r="AN426" t="s">
        <v>6002</v>
      </c>
      <c r="AO426" t="s">
        <v>6003</v>
      </c>
      <c r="AP426" t="s">
        <v>74</v>
      </c>
      <c r="AQ426" t="s">
        <v>74</v>
      </c>
      <c r="AR426" t="s">
        <v>6004</v>
      </c>
      <c r="AS426" t="s">
        <v>6005</v>
      </c>
      <c r="AT426" t="s">
        <v>5744</v>
      </c>
      <c r="AU426">
        <v>2002</v>
      </c>
      <c r="AV426">
        <v>59</v>
      </c>
      <c r="AW426">
        <v>12</v>
      </c>
      <c r="AX426" t="s">
        <v>74</v>
      </c>
      <c r="AY426" t="s">
        <v>74</v>
      </c>
      <c r="AZ426" t="s">
        <v>74</v>
      </c>
      <c r="BA426" t="s">
        <v>74</v>
      </c>
      <c r="BB426">
        <v>1851</v>
      </c>
      <c r="BC426">
        <v>1857</v>
      </c>
      <c r="BD426" t="s">
        <v>74</v>
      </c>
      <c r="BE426" t="s">
        <v>6006</v>
      </c>
      <c r="BF426" t="str">
        <f>HYPERLINK("http://dx.doi.org/10.1139/F02-150","http://dx.doi.org/10.1139/F02-150")</f>
        <v>http://dx.doi.org/10.1139/F02-150</v>
      </c>
      <c r="BG426" t="s">
        <v>74</v>
      </c>
      <c r="BH426" t="s">
        <v>74</v>
      </c>
      <c r="BI426">
        <v>7</v>
      </c>
      <c r="BJ426" t="s">
        <v>792</v>
      </c>
      <c r="BK426" t="s">
        <v>569</v>
      </c>
      <c r="BL426" t="s">
        <v>792</v>
      </c>
      <c r="BM426" t="s">
        <v>6007</v>
      </c>
      <c r="BN426" t="s">
        <v>74</v>
      </c>
      <c r="BO426" t="s">
        <v>74</v>
      </c>
      <c r="BP426" t="s">
        <v>74</v>
      </c>
      <c r="BQ426" t="s">
        <v>74</v>
      </c>
      <c r="BR426" t="s">
        <v>98</v>
      </c>
      <c r="BS426" t="s">
        <v>6008</v>
      </c>
      <c r="BT426" t="str">
        <f>HYPERLINK("https%3A%2F%2Fwww.webofscience.com%2Fwos%2Fwoscc%2Ffull-record%2FWOS:000180811800002","View Full Record in Web of Science")</f>
        <v>View Full Record in Web of Science</v>
      </c>
    </row>
    <row r="427" spans="1:72" x14ac:dyDescent="0.15">
      <c r="A427" t="s">
        <v>552</v>
      </c>
      <c r="B427" t="s">
        <v>6009</v>
      </c>
      <c r="C427" t="s">
        <v>74</v>
      </c>
      <c r="D427" t="s">
        <v>74</v>
      </c>
      <c r="E427" t="s">
        <v>74</v>
      </c>
      <c r="F427" t="s">
        <v>6009</v>
      </c>
      <c r="G427" t="s">
        <v>74</v>
      </c>
      <c r="H427" t="s">
        <v>74</v>
      </c>
      <c r="I427" t="s">
        <v>6010</v>
      </c>
      <c r="J427" t="s">
        <v>6011</v>
      </c>
      <c r="K427" t="s">
        <v>74</v>
      </c>
      <c r="L427" t="s">
        <v>74</v>
      </c>
      <c r="M427" t="s">
        <v>78</v>
      </c>
      <c r="N427" t="s">
        <v>775</v>
      </c>
      <c r="O427" t="s">
        <v>74</v>
      </c>
      <c r="P427" t="s">
        <v>74</v>
      </c>
      <c r="Q427" t="s">
        <v>74</v>
      </c>
      <c r="R427" t="s">
        <v>74</v>
      </c>
      <c r="S427" t="s">
        <v>74</v>
      </c>
      <c r="T427" t="s">
        <v>6012</v>
      </c>
      <c r="U427" t="s">
        <v>6013</v>
      </c>
      <c r="V427" t="s">
        <v>6014</v>
      </c>
      <c r="W427" t="s">
        <v>6015</v>
      </c>
      <c r="X427" t="s">
        <v>6016</v>
      </c>
      <c r="Y427" t="s">
        <v>6017</v>
      </c>
      <c r="Z427" t="s">
        <v>6018</v>
      </c>
      <c r="AA427" t="s">
        <v>6019</v>
      </c>
      <c r="AB427" t="s">
        <v>6020</v>
      </c>
      <c r="AC427" t="s">
        <v>6021</v>
      </c>
      <c r="AD427" t="s">
        <v>6022</v>
      </c>
      <c r="AE427" t="s">
        <v>74</v>
      </c>
      <c r="AF427" t="s">
        <v>74</v>
      </c>
      <c r="AG427">
        <v>11</v>
      </c>
      <c r="AH427">
        <v>11</v>
      </c>
      <c r="AI427">
        <v>13</v>
      </c>
      <c r="AJ427">
        <v>0</v>
      </c>
      <c r="AK427">
        <v>21</v>
      </c>
      <c r="AL427" t="s">
        <v>6023</v>
      </c>
      <c r="AM427" t="s">
        <v>1881</v>
      </c>
      <c r="AN427" t="s">
        <v>6024</v>
      </c>
      <c r="AO427" t="s">
        <v>6025</v>
      </c>
      <c r="AP427" t="s">
        <v>6026</v>
      </c>
      <c r="AQ427" t="s">
        <v>74</v>
      </c>
      <c r="AR427" t="s">
        <v>6027</v>
      </c>
      <c r="AS427" t="s">
        <v>6028</v>
      </c>
      <c r="AT427" t="s">
        <v>5744</v>
      </c>
      <c r="AU427">
        <v>2002</v>
      </c>
      <c r="AV427">
        <v>59</v>
      </c>
      <c r="AW427">
        <v>12</v>
      </c>
      <c r="AX427" t="s">
        <v>74</v>
      </c>
      <c r="AY427" t="s">
        <v>74</v>
      </c>
      <c r="AZ427" t="s">
        <v>74</v>
      </c>
      <c r="BA427" t="s">
        <v>74</v>
      </c>
      <c r="BB427">
        <v>2210</v>
      </c>
      <c r="BC427">
        <v>2215</v>
      </c>
      <c r="BD427" t="s">
        <v>74</v>
      </c>
      <c r="BE427" t="s">
        <v>6029</v>
      </c>
      <c r="BF427" t="str">
        <f>HYPERLINK("http://dx.doi.org/10.1007/s000180200020","http://dx.doi.org/10.1007/s000180200020")</f>
        <v>http://dx.doi.org/10.1007/s000180200020</v>
      </c>
      <c r="BG427" t="s">
        <v>74</v>
      </c>
      <c r="BH427" t="s">
        <v>74</v>
      </c>
      <c r="BI427">
        <v>6</v>
      </c>
      <c r="BJ427" t="s">
        <v>6030</v>
      </c>
      <c r="BK427" t="s">
        <v>569</v>
      </c>
      <c r="BL427" t="s">
        <v>6030</v>
      </c>
      <c r="BM427" t="s">
        <v>6031</v>
      </c>
      <c r="BN427">
        <v>12568347</v>
      </c>
      <c r="BO427" t="s">
        <v>1574</v>
      </c>
      <c r="BP427" t="s">
        <v>74</v>
      </c>
      <c r="BQ427" t="s">
        <v>74</v>
      </c>
      <c r="BR427" t="s">
        <v>98</v>
      </c>
      <c r="BS427" t="s">
        <v>6032</v>
      </c>
      <c r="BT427" t="str">
        <f>HYPERLINK("https%3A%2F%2Fwww.webofscience.com%2Fwos%2Fwoscc%2Ffull-record%2FWOS:000180625000022","View Full Record in Web of Science")</f>
        <v>View Full Record in Web of Science</v>
      </c>
    </row>
    <row r="428" spans="1:72" x14ac:dyDescent="0.15">
      <c r="A428" t="s">
        <v>552</v>
      </c>
      <c r="B428" t="s">
        <v>6033</v>
      </c>
      <c r="C428" t="s">
        <v>74</v>
      </c>
      <c r="D428" t="s">
        <v>74</v>
      </c>
      <c r="E428" t="s">
        <v>74</v>
      </c>
      <c r="F428" t="s">
        <v>6033</v>
      </c>
      <c r="G428" t="s">
        <v>74</v>
      </c>
      <c r="H428" t="s">
        <v>74</v>
      </c>
      <c r="I428" t="s">
        <v>6034</v>
      </c>
      <c r="J428" t="s">
        <v>1179</v>
      </c>
      <c r="K428" t="s">
        <v>74</v>
      </c>
      <c r="L428" t="s">
        <v>74</v>
      </c>
      <c r="M428" t="s">
        <v>78</v>
      </c>
      <c r="N428" t="s">
        <v>1114</v>
      </c>
      <c r="O428" t="s">
        <v>74</v>
      </c>
      <c r="P428" t="s">
        <v>74</v>
      </c>
      <c r="Q428" t="s">
        <v>74</v>
      </c>
      <c r="R428" t="s">
        <v>74</v>
      </c>
      <c r="S428" t="s">
        <v>74</v>
      </c>
      <c r="T428" t="s">
        <v>6035</v>
      </c>
      <c r="U428" t="s">
        <v>6036</v>
      </c>
      <c r="V428" t="s">
        <v>6037</v>
      </c>
      <c r="W428" t="s">
        <v>6038</v>
      </c>
      <c r="X428" t="s">
        <v>6039</v>
      </c>
      <c r="Y428" t="s">
        <v>6040</v>
      </c>
      <c r="Z428" t="s">
        <v>6041</v>
      </c>
      <c r="AA428" t="s">
        <v>6042</v>
      </c>
      <c r="AB428" t="s">
        <v>6043</v>
      </c>
      <c r="AC428" t="s">
        <v>74</v>
      </c>
      <c r="AD428" t="s">
        <v>74</v>
      </c>
      <c r="AE428" t="s">
        <v>74</v>
      </c>
      <c r="AF428" t="s">
        <v>74</v>
      </c>
      <c r="AG428">
        <v>143</v>
      </c>
      <c r="AH428">
        <v>165</v>
      </c>
      <c r="AI428">
        <v>180</v>
      </c>
      <c r="AJ428">
        <v>4</v>
      </c>
      <c r="AK428">
        <v>95</v>
      </c>
      <c r="AL428" t="s">
        <v>806</v>
      </c>
      <c r="AM428" t="s">
        <v>807</v>
      </c>
      <c r="AN428" t="s">
        <v>808</v>
      </c>
      <c r="AO428" t="s">
        <v>1189</v>
      </c>
      <c r="AP428" t="s">
        <v>1190</v>
      </c>
      <c r="AQ428" t="s">
        <v>74</v>
      </c>
      <c r="AR428" t="s">
        <v>1179</v>
      </c>
      <c r="AS428" t="s">
        <v>1191</v>
      </c>
      <c r="AT428" t="s">
        <v>5744</v>
      </c>
      <c r="AU428">
        <v>2002</v>
      </c>
      <c r="AV428">
        <v>49</v>
      </c>
      <c r="AW428">
        <v>8</v>
      </c>
      <c r="AX428" t="s">
        <v>74</v>
      </c>
      <c r="AY428" t="s">
        <v>74</v>
      </c>
      <c r="AZ428" t="s">
        <v>74</v>
      </c>
      <c r="BA428" t="s">
        <v>74</v>
      </c>
      <c r="BB428">
        <v>845</v>
      </c>
      <c r="BC428">
        <v>863</v>
      </c>
      <c r="BD428" t="s">
        <v>6044</v>
      </c>
      <c r="BE428" t="s">
        <v>6045</v>
      </c>
      <c r="BF428" t="str">
        <f>HYPERLINK("http://dx.doi.org/10.1016/S0045-6535(02)00385-5","http://dx.doi.org/10.1016/S0045-6535(02)00385-5")</f>
        <v>http://dx.doi.org/10.1016/S0045-6535(02)00385-5</v>
      </c>
      <c r="BG428" t="s">
        <v>74</v>
      </c>
      <c r="BH428" t="s">
        <v>74</v>
      </c>
      <c r="BI428">
        <v>19</v>
      </c>
      <c r="BJ428" t="s">
        <v>1194</v>
      </c>
      <c r="BK428" t="s">
        <v>569</v>
      </c>
      <c r="BL428" t="s">
        <v>1195</v>
      </c>
      <c r="BM428" t="s">
        <v>6046</v>
      </c>
      <c r="BN428">
        <v>12430662</v>
      </c>
      <c r="BO428" t="s">
        <v>74</v>
      </c>
      <c r="BP428" t="s">
        <v>74</v>
      </c>
      <c r="BQ428" t="s">
        <v>74</v>
      </c>
      <c r="BR428" t="s">
        <v>98</v>
      </c>
      <c r="BS428" t="s">
        <v>6047</v>
      </c>
      <c r="BT428" t="str">
        <f>HYPERLINK("https%3A%2F%2Fwww.webofscience.com%2Fwos%2Fwoscc%2Ffull-record%2FWOS:000178805000007","View Full Record in Web of Science")</f>
        <v>View Full Record in Web of Science</v>
      </c>
    </row>
    <row r="429" spans="1:72" x14ac:dyDescent="0.15">
      <c r="A429" t="s">
        <v>552</v>
      </c>
      <c r="B429" t="s">
        <v>6048</v>
      </c>
      <c r="C429" t="s">
        <v>74</v>
      </c>
      <c r="D429" t="s">
        <v>74</v>
      </c>
      <c r="E429" t="s">
        <v>74</v>
      </c>
      <c r="F429" t="s">
        <v>6048</v>
      </c>
      <c r="G429" t="s">
        <v>74</v>
      </c>
      <c r="H429" t="s">
        <v>74</v>
      </c>
      <c r="I429" t="s">
        <v>6049</v>
      </c>
      <c r="J429" t="s">
        <v>6050</v>
      </c>
      <c r="K429" t="s">
        <v>74</v>
      </c>
      <c r="L429" t="s">
        <v>74</v>
      </c>
      <c r="M429" t="s">
        <v>78</v>
      </c>
      <c r="N429" t="s">
        <v>775</v>
      </c>
      <c r="O429" t="s">
        <v>74</v>
      </c>
      <c r="P429" t="s">
        <v>74</v>
      </c>
      <c r="Q429" t="s">
        <v>74</v>
      </c>
      <c r="R429" t="s">
        <v>74</v>
      </c>
      <c r="S429" t="s">
        <v>74</v>
      </c>
      <c r="T429" t="s">
        <v>6051</v>
      </c>
      <c r="U429" t="s">
        <v>6052</v>
      </c>
      <c r="V429" t="s">
        <v>6053</v>
      </c>
      <c r="W429" t="s">
        <v>6054</v>
      </c>
      <c r="X429" t="s">
        <v>6055</v>
      </c>
      <c r="Y429" t="s">
        <v>6056</v>
      </c>
      <c r="Z429" t="s">
        <v>74</v>
      </c>
      <c r="AA429" t="s">
        <v>74</v>
      </c>
      <c r="AB429" t="s">
        <v>74</v>
      </c>
      <c r="AC429" t="s">
        <v>74</v>
      </c>
      <c r="AD429" t="s">
        <v>74</v>
      </c>
      <c r="AE429" t="s">
        <v>74</v>
      </c>
      <c r="AF429" t="s">
        <v>74</v>
      </c>
      <c r="AG429">
        <v>86</v>
      </c>
      <c r="AH429">
        <v>53</v>
      </c>
      <c r="AI429">
        <v>62</v>
      </c>
      <c r="AJ429">
        <v>0</v>
      </c>
      <c r="AK429">
        <v>2</v>
      </c>
      <c r="AL429" t="s">
        <v>2112</v>
      </c>
      <c r="AM429" t="s">
        <v>2113</v>
      </c>
      <c r="AN429" t="s">
        <v>2114</v>
      </c>
      <c r="AO429" t="s">
        <v>6057</v>
      </c>
      <c r="AP429" t="s">
        <v>74</v>
      </c>
      <c r="AQ429" t="s">
        <v>74</v>
      </c>
      <c r="AR429" t="s">
        <v>6058</v>
      </c>
      <c r="AS429" t="s">
        <v>6059</v>
      </c>
      <c r="AT429" t="s">
        <v>5744</v>
      </c>
      <c r="AU429">
        <v>2002</v>
      </c>
      <c r="AV429">
        <v>23</v>
      </c>
      <c r="AW429">
        <v>6</v>
      </c>
      <c r="AX429" t="s">
        <v>74</v>
      </c>
      <c r="AY429" t="s">
        <v>74</v>
      </c>
      <c r="AZ429" t="s">
        <v>74</v>
      </c>
      <c r="BA429" t="s">
        <v>74</v>
      </c>
      <c r="BB429">
        <v>739</v>
      </c>
      <c r="BC429">
        <v>760</v>
      </c>
      <c r="BD429" t="s">
        <v>74</v>
      </c>
      <c r="BE429" t="s">
        <v>6060</v>
      </c>
      <c r="BF429" t="str">
        <f>HYPERLINK("http://dx.doi.org/10.1006/cres.2002.1024","http://dx.doi.org/10.1006/cres.2002.1024")</f>
        <v>http://dx.doi.org/10.1006/cres.2002.1024</v>
      </c>
      <c r="BG429" t="s">
        <v>74</v>
      </c>
      <c r="BH429" t="s">
        <v>74</v>
      </c>
      <c r="BI429">
        <v>22</v>
      </c>
      <c r="BJ429" t="s">
        <v>6061</v>
      </c>
      <c r="BK429" t="s">
        <v>569</v>
      </c>
      <c r="BL429" t="s">
        <v>6061</v>
      </c>
      <c r="BM429" t="s">
        <v>6062</v>
      </c>
      <c r="BN429" t="s">
        <v>74</v>
      </c>
      <c r="BO429" t="s">
        <v>74</v>
      </c>
      <c r="BP429" t="s">
        <v>74</v>
      </c>
      <c r="BQ429" t="s">
        <v>74</v>
      </c>
      <c r="BR429" t="s">
        <v>98</v>
      </c>
      <c r="BS429" t="s">
        <v>6063</v>
      </c>
      <c r="BT429" t="str">
        <f>HYPERLINK("https%3A%2F%2Fwww.webofscience.com%2Fwos%2Fwoscc%2Ffull-record%2FWOS:000183673300005","View Full Record in Web of Science")</f>
        <v>View Full Record in Web of Science</v>
      </c>
    </row>
    <row r="430" spans="1:72" x14ac:dyDescent="0.15">
      <c r="A430" t="s">
        <v>552</v>
      </c>
      <c r="B430" t="s">
        <v>6064</v>
      </c>
      <c r="C430" t="s">
        <v>74</v>
      </c>
      <c r="D430" t="s">
        <v>74</v>
      </c>
      <c r="E430" t="s">
        <v>74</v>
      </c>
      <c r="F430" t="s">
        <v>6064</v>
      </c>
      <c r="G430" t="s">
        <v>74</v>
      </c>
      <c r="H430" t="s">
        <v>74</v>
      </c>
      <c r="I430" t="s">
        <v>6065</v>
      </c>
      <c r="J430" t="s">
        <v>1339</v>
      </c>
      <c r="K430" t="s">
        <v>74</v>
      </c>
      <c r="L430" t="s">
        <v>74</v>
      </c>
      <c r="M430" t="s">
        <v>78</v>
      </c>
      <c r="N430" t="s">
        <v>775</v>
      </c>
      <c r="O430" t="s">
        <v>74</v>
      </c>
      <c r="P430" t="s">
        <v>74</v>
      </c>
      <c r="Q430" t="s">
        <v>74</v>
      </c>
      <c r="R430" t="s">
        <v>74</v>
      </c>
      <c r="S430" t="s">
        <v>74</v>
      </c>
      <c r="T430" t="s">
        <v>74</v>
      </c>
      <c r="U430" t="s">
        <v>74</v>
      </c>
      <c r="V430" t="s">
        <v>74</v>
      </c>
      <c r="W430" t="s">
        <v>6066</v>
      </c>
      <c r="X430" t="s">
        <v>6067</v>
      </c>
      <c r="Y430" t="s">
        <v>6068</v>
      </c>
      <c r="Z430" t="s">
        <v>74</v>
      </c>
      <c r="AA430" t="s">
        <v>74</v>
      </c>
      <c r="AB430" t="s">
        <v>74</v>
      </c>
      <c r="AC430" t="s">
        <v>74</v>
      </c>
      <c r="AD430" t="s">
        <v>74</v>
      </c>
      <c r="AE430" t="s">
        <v>74</v>
      </c>
      <c r="AF430" t="s">
        <v>74</v>
      </c>
      <c r="AG430">
        <v>8</v>
      </c>
      <c r="AH430">
        <v>0</v>
      </c>
      <c r="AI430">
        <v>0</v>
      </c>
      <c r="AJ430">
        <v>0</v>
      </c>
      <c r="AK430">
        <v>1</v>
      </c>
      <c r="AL430" t="s">
        <v>1344</v>
      </c>
      <c r="AM430" t="s">
        <v>91</v>
      </c>
      <c r="AN430" t="s">
        <v>1345</v>
      </c>
      <c r="AO430" t="s">
        <v>1346</v>
      </c>
      <c r="AP430" t="s">
        <v>6069</v>
      </c>
      <c r="AQ430" t="s">
        <v>74</v>
      </c>
      <c r="AR430" t="s">
        <v>1339</v>
      </c>
      <c r="AS430" t="s">
        <v>1347</v>
      </c>
      <c r="AT430" t="s">
        <v>5744</v>
      </c>
      <c r="AU430">
        <v>2002</v>
      </c>
      <c r="AV430">
        <v>75</v>
      </c>
      <c r="AW430" t="s">
        <v>74</v>
      </c>
      <c r="AX430">
        <v>11</v>
      </c>
      <c r="AY430" t="s">
        <v>74</v>
      </c>
      <c r="AZ430" t="s">
        <v>74</v>
      </c>
      <c r="BA430" t="s">
        <v>74</v>
      </c>
      <c r="BB430">
        <v>1403</v>
      </c>
      <c r="BC430">
        <v>1406</v>
      </c>
      <c r="BD430" t="s">
        <v>74</v>
      </c>
      <c r="BE430" t="s">
        <v>6070</v>
      </c>
      <c r="BF430" t="str">
        <f>HYPERLINK("http://dx.doi.org/10.1163/156854002321629826","http://dx.doi.org/10.1163/156854002321629826")</f>
        <v>http://dx.doi.org/10.1163/156854002321629826</v>
      </c>
      <c r="BG430" t="s">
        <v>74</v>
      </c>
      <c r="BH430" t="s">
        <v>74</v>
      </c>
      <c r="BI430">
        <v>4</v>
      </c>
      <c r="BJ430" t="s">
        <v>989</v>
      </c>
      <c r="BK430" t="s">
        <v>569</v>
      </c>
      <c r="BL430" t="s">
        <v>989</v>
      </c>
      <c r="BM430" t="s">
        <v>6071</v>
      </c>
      <c r="BN430" t="s">
        <v>74</v>
      </c>
      <c r="BO430" t="s">
        <v>74</v>
      </c>
      <c r="BP430" t="s">
        <v>74</v>
      </c>
      <c r="BQ430" t="s">
        <v>74</v>
      </c>
      <c r="BR430" t="s">
        <v>98</v>
      </c>
      <c r="BS430" t="s">
        <v>6072</v>
      </c>
      <c r="BT430" t="str">
        <f>HYPERLINK("https%3A%2F%2Fwww.webofscience.com%2Fwos%2Fwoscc%2Ffull-record%2FWOS:000183802100008","View Full Record in Web of Science")</f>
        <v>View Full Record in Web of Science</v>
      </c>
    </row>
    <row r="431" spans="1:72" x14ac:dyDescent="0.15">
      <c r="A431" t="s">
        <v>552</v>
      </c>
      <c r="B431" t="s">
        <v>6073</v>
      </c>
      <c r="C431" t="s">
        <v>74</v>
      </c>
      <c r="D431" t="s">
        <v>74</v>
      </c>
      <c r="E431" t="s">
        <v>74</v>
      </c>
      <c r="F431" t="s">
        <v>6073</v>
      </c>
      <c r="G431" t="s">
        <v>74</v>
      </c>
      <c r="H431" t="s">
        <v>74</v>
      </c>
      <c r="I431" t="s">
        <v>6074</v>
      </c>
      <c r="J431" t="s">
        <v>1381</v>
      </c>
      <c r="K431" t="s">
        <v>74</v>
      </c>
      <c r="L431" t="s">
        <v>74</v>
      </c>
      <c r="M431" t="s">
        <v>78</v>
      </c>
      <c r="N431" t="s">
        <v>775</v>
      </c>
      <c r="O431" t="s">
        <v>74</v>
      </c>
      <c r="P431" t="s">
        <v>74</v>
      </c>
      <c r="Q431" t="s">
        <v>74</v>
      </c>
      <c r="R431" t="s">
        <v>74</v>
      </c>
      <c r="S431" t="s">
        <v>74</v>
      </c>
      <c r="T431" t="s">
        <v>6075</v>
      </c>
      <c r="U431" t="s">
        <v>6076</v>
      </c>
      <c r="V431" t="s">
        <v>6077</v>
      </c>
      <c r="W431" t="s">
        <v>6078</v>
      </c>
      <c r="X431" t="s">
        <v>6079</v>
      </c>
      <c r="Y431" t="s">
        <v>6080</v>
      </c>
      <c r="Z431" t="s">
        <v>74</v>
      </c>
      <c r="AA431" t="s">
        <v>6081</v>
      </c>
      <c r="AB431" t="s">
        <v>6082</v>
      </c>
      <c r="AC431" t="s">
        <v>74</v>
      </c>
      <c r="AD431" t="s">
        <v>74</v>
      </c>
      <c r="AE431" t="s">
        <v>74</v>
      </c>
      <c r="AF431" t="s">
        <v>74</v>
      </c>
      <c r="AG431">
        <v>62</v>
      </c>
      <c r="AH431">
        <v>43</v>
      </c>
      <c r="AI431">
        <v>47</v>
      </c>
      <c r="AJ431">
        <v>0</v>
      </c>
      <c r="AK431">
        <v>26</v>
      </c>
      <c r="AL431" t="s">
        <v>806</v>
      </c>
      <c r="AM431" t="s">
        <v>807</v>
      </c>
      <c r="AN431" t="s">
        <v>808</v>
      </c>
      <c r="AO431" t="s">
        <v>1389</v>
      </c>
      <c r="AP431" t="s">
        <v>74</v>
      </c>
      <c r="AQ431" t="s">
        <v>74</v>
      </c>
      <c r="AR431" t="s">
        <v>1391</v>
      </c>
      <c r="AS431" t="s">
        <v>1392</v>
      </c>
      <c r="AT431" t="s">
        <v>5744</v>
      </c>
      <c r="AU431">
        <v>2002</v>
      </c>
      <c r="AV431">
        <v>49</v>
      </c>
      <c r="AW431">
        <v>12</v>
      </c>
      <c r="AX431" t="s">
        <v>74</v>
      </c>
      <c r="AY431" t="s">
        <v>74</v>
      </c>
      <c r="AZ431" t="s">
        <v>74</v>
      </c>
      <c r="BA431" t="s">
        <v>74</v>
      </c>
      <c r="BB431">
        <v>2183</v>
      </c>
      <c r="BC431">
        <v>2202</v>
      </c>
      <c r="BD431" t="s">
        <v>6083</v>
      </c>
      <c r="BE431" t="s">
        <v>6084</v>
      </c>
      <c r="BF431" t="str">
        <f>HYPERLINK("http://dx.doi.org/10.1016/S0967-0637(02)00119-X","http://dx.doi.org/10.1016/S0967-0637(02)00119-X")</f>
        <v>http://dx.doi.org/10.1016/S0967-0637(02)00119-X</v>
      </c>
      <c r="BG431" t="s">
        <v>74</v>
      </c>
      <c r="BH431" t="s">
        <v>74</v>
      </c>
      <c r="BI431">
        <v>20</v>
      </c>
      <c r="BJ431" t="s">
        <v>1394</v>
      </c>
      <c r="BK431" t="s">
        <v>569</v>
      </c>
      <c r="BL431" t="s">
        <v>1394</v>
      </c>
      <c r="BM431" t="s">
        <v>6085</v>
      </c>
      <c r="BN431" t="s">
        <v>74</v>
      </c>
      <c r="BO431" t="s">
        <v>74</v>
      </c>
      <c r="BP431" t="s">
        <v>74</v>
      </c>
      <c r="BQ431" t="s">
        <v>74</v>
      </c>
      <c r="BR431" t="s">
        <v>98</v>
      </c>
      <c r="BS431" t="s">
        <v>6086</v>
      </c>
      <c r="BT431" t="str">
        <f>HYPERLINK("https%3A%2F%2Fwww.webofscience.com%2Fwos%2Fwoscc%2Ffull-record%2FWOS:000180959500004","View Full Record in Web of Science")</f>
        <v>View Full Record in Web of Science</v>
      </c>
    </row>
    <row r="432" spans="1:72" x14ac:dyDescent="0.15">
      <c r="A432" t="s">
        <v>552</v>
      </c>
      <c r="B432" t="s">
        <v>6087</v>
      </c>
      <c r="C432" t="s">
        <v>74</v>
      </c>
      <c r="D432" t="s">
        <v>74</v>
      </c>
      <c r="E432" t="s">
        <v>74</v>
      </c>
      <c r="F432" t="s">
        <v>6087</v>
      </c>
      <c r="G432" t="s">
        <v>74</v>
      </c>
      <c r="H432" t="s">
        <v>74</v>
      </c>
      <c r="I432" t="s">
        <v>6088</v>
      </c>
      <c r="J432" t="s">
        <v>1381</v>
      </c>
      <c r="K432" t="s">
        <v>74</v>
      </c>
      <c r="L432" t="s">
        <v>74</v>
      </c>
      <c r="M432" t="s">
        <v>78</v>
      </c>
      <c r="N432" t="s">
        <v>775</v>
      </c>
      <c r="O432" t="s">
        <v>74</v>
      </c>
      <c r="P432" t="s">
        <v>74</v>
      </c>
      <c r="Q432" t="s">
        <v>74</v>
      </c>
      <c r="R432" t="s">
        <v>74</v>
      </c>
      <c r="S432" t="s">
        <v>74</v>
      </c>
      <c r="T432" t="s">
        <v>6089</v>
      </c>
      <c r="U432" t="s">
        <v>6090</v>
      </c>
      <c r="V432" t="s">
        <v>6091</v>
      </c>
      <c r="W432" t="s">
        <v>6092</v>
      </c>
      <c r="X432" t="s">
        <v>6093</v>
      </c>
      <c r="Y432" t="s">
        <v>6094</v>
      </c>
      <c r="Z432" t="s">
        <v>74</v>
      </c>
      <c r="AA432" t="s">
        <v>6095</v>
      </c>
      <c r="AB432" t="s">
        <v>74</v>
      </c>
      <c r="AC432" t="s">
        <v>74</v>
      </c>
      <c r="AD432" t="s">
        <v>74</v>
      </c>
      <c r="AE432" t="s">
        <v>74</v>
      </c>
      <c r="AF432" t="s">
        <v>74</v>
      </c>
      <c r="AG432">
        <v>46</v>
      </c>
      <c r="AH432">
        <v>37</v>
      </c>
      <c r="AI432">
        <v>44</v>
      </c>
      <c r="AJ432">
        <v>4</v>
      </c>
      <c r="AK432">
        <v>38</v>
      </c>
      <c r="AL432" t="s">
        <v>806</v>
      </c>
      <c r="AM432" t="s">
        <v>807</v>
      </c>
      <c r="AN432" t="s">
        <v>808</v>
      </c>
      <c r="AO432" t="s">
        <v>1389</v>
      </c>
      <c r="AP432" t="s">
        <v>74</v>
      </c>
      <c r="AQ432" t="s">
        <v>74</v>
      </c>
      <c r="AR432" t="s">
        <v>1391</v>
      </c>
      <c r="AS432" t="s">
        <v>1392</v>
      </c>
      <c r="AT432" t="s">
        <v>5744</v>
      </c>
      <c r="AU432">
        <v>2002</v>
      </c>
      <c r="AV432">
        <v>49</v>
      </c>
      <c r="AW432">
        <v>12</v>
      </c>
      <c r="AX432" t="s">
        <v>74</v>
      </c>
      <c r="AY432" t="s">
        <v>74</v>
      </c>
      <c r="AZ432" t="s">
        <v>74</v>
      </c>
      <c r="BA432" t="s">
        <v>74</v>
      </c>
      <c r="BB432">
        <v>2241</v>
      </c>
      <c r="BC432">
        <v>2259</v>
      </c>
      <c r="BD432" t="s">
        <v>6096</v>
      </c>
      <c r="BE432" t="s">
        <v>6097</v>
      </c>
      <c r="BF432" t="str">
        <f>HYPERLINK("http://dx.doi.org/10.1016/S0967-0637(02)00124-3","http://dx.doi.org/10.1016/S0967-0637(02)00124-3")</f>
        <v>http://dx.doi.org/10.1016/S0967-0637(02)00124-3</v>
      </c>
      <c r="BG432" t="s">
        <v>74</v>
      </c>
      <c r="BH432" t="s">
        <v>74</v>
      </c>
      <c r="BI432">
        <v>19</v>
      </c>
      <c r="BJ432" t="s">
        <v>1394</v>
      </c>
      <c r="BK432" t="s">
        <v>569</v>
      </c>
      <c r="BL432" t="s">
        <v>1394</v>
      </c>
      <c r="BM432" t="s">
        <v>6085</v>
      </c>
      <c r="BN432" t="s">
        <v>74</v>
      </c>
      <c r="BO432" t="s">
        <v>74</v>
      </c>
      <c r="BP432" t="s">
        <v>74</v>
      </c>
      <c r="BQ432" t="s">
        <v>74</v>
      </c>
      <c r="BR432" t="s">
        <v>98</v>
      </c>
      <c r="BS432" t="s">
        <v>6098</v>
      </c>
      <c r="BT432" t="str">
        <f>HYPERLINK("https%3A%2F%2Fwww.webofscience.com%2Fwos%2Fwoscc%2Ffull-record%2FWOS:000180959500007","View Full Record in Web of Science")</f>
        <v>View Full Record in Web of Science</v>
      </c>
    </row>
    <row r="433" spans="1:72" x14ac:dyDescent="0.15">
      <c r="A433" t="s">
        <v>552</v>
      </c>
      <c r="B433" t="s">
        <v>6099</v>
      </c>
      <c r="C433" t="s">
        <v>74</v>
      </c>
      <c r="D433" t="s">
        <v>74</v>
      </c>
      <c r="E433" t="s">
        <v>74</v>
      </c>
      <c r="F433" t="s">
        <v>6099</v>
      </c>
      <c r="G433" t="s">
        <v>74</v>
      </c>
      <c r="H433" t="s">
        <v>74</v>
      </c>
      <c r="I433" t="s">
        <v>6100</v>
      </c>
      <c r="J433" t="s">
        <v>6101</v>
      </c>
      <c r="K433" t="s">
        <v>74</v>
      </c>
      <c r="L433" t="s">
        <v>74</v>
      </c>
      <c r="M433" t="s">
        <v>78</v>
      </c>
      <c r="N433" t="s">
        <v>775</v>
      </c>
      <c r="O433" t="s">
        <v>74</v>
      </c>
      <c r="P433" t="s">
        <v>74</v>
      </c>
      <c r="Q433" t="s">
        <v>74</v>
      </c>
      <c r="R433" t="s">
        <v>74</v>
      </c>
      <c r="S433" t="s">
        <v>74</v>
      </c>
      <c r="T433" t="s">
        <v>6102</v>
      </c>
      <c r="U433" t="s">
        <v>6103</v>
      </c>
      <c r="V433" t="s">
        <v>6104</v>
      </c>
      <c r="W433" t="s">
        <v>6105</v>
      </c>
      <c r="X433" t="s">
        <v>6106</v>
      </c>
      <c r="Y433" t="s">
        <v>6107</v>
      </c>
      <c r="Z433" t="s">
        <v>6108</v>
      </c>
      <c r="AA433" t="s">
        <v>74</v>
      </c>
      <c r="AB433" t="s">
        <v>6109</v>
      </c>
      <c r="AC433" t="s">
        <v>74</v>
      </c>
      <c r="AD433" t="s">
        <v>74</v>
      </c>
      <c r="AE433" t="s">
        <v>74</v>
      </c>
      <c r="AF433" t="s">
        <v>74</v>
      </c>
      <c r="AG433">
        <v>47</v>
      </c>
      <c r="AH433">
        <v>6</v>
      </c>
      <c r="AI433">
        <v>7</v>
      </c>
      <c r="AJ433">
        <v>0</v>
      </c>
      <c r="AK433">
        <v>4</v>
      </c>
      <c r="AL433" t="s">
        <v>1147</v>
      </c>
      <c r="AM433" t="s">
        <v>1148</v>
      </c>
      <c r="AN433" t="s">
        <v>1149</v>
      </c>
      <c r="AO433" t="s">
        <v>6110</v>
      </c>
      <c r="AP433" t="s">
        <v>74</v>
      </c>
      <c r="AQ433" t="s">
        <v>74</v>
      </c>
      <c r="AR433" t="s">
        <v>6111</v>
      </c>
      <c r="AS433" t="s">
        <v>6112</v>
      </c>
      <c r="AT433" t="s">
        <v>5744</v>
      </c>
      <c r="AU433">
        <v>2002</v>
      </c>
      <c r="AV433">
        <v>269</v>
      </c>
      <c r="AW433">
        <v>24</v>
      </c>
      <c r="AX433" t="s">
        <v>74</v>
      </c>
      <c r="AY433" t="s">
        <v>74</v>
      </c>
      <c r="AZ433" t="s">
        <v>74</v>
      </c>
      <c r="BA433" t="s">
        <v>74</v>
      </c>
      <c r="BB433">
        <v>6271</v>
      </c>
      <c r="BC433">
        <v>6277</v>
      </c>
      <c r="BD433" t="s">
        <v>74</v>
      </c>
      <c r="BE433" t="s">
        <v>6113</v>
      </c>
      <c r="BF433" t="str">
        <f>HYPERLINK("http://dx.doi.org/10.1046/j.1432-1033.2002.03346.x","http://dx.doi.org/10.1046/j.1432-1033.2002.03346.x")</f>
        <v>http://dx.doi.org/10.1046/j.1432-1033.2002.03346.x</v>
      </c>
      <c r="BG433" t="s">
        <v>74</v>
      </c>
      <c r="BH433" t="s">
        <v>74</v>
      </c>
      <c r="BI433">
        <v>7</v>
      </c>
      <c r="BJ433" t="s">
        <v>2171</v>
      </c>
      <c r="BK433" t="s">
        <v>569</v>
      </c>
      <c r="BL433" t="s">
        <v>2171</v>
      </c>
      <c r="BM433" t="s">
        <v>6114</v>
      </c>
      <c r="BN433">
        <v>12473123</v>
      </c>
      <c r="BO433" t="s">
        <v>572</v>
      </c>
      <c r="BP433" t="s">
        <v>74</v>
      </c>
      <c r="BQ433" t="s">
        <v>74</v>
      </c>
      <c r="BR433" t="s">
        <v>98</v>
      </c>
      <c r="BS433" t="s">
        <v>6115</v>
      </c>
      <c r="BT433" t="str">
        <f>HYPERLINK("https%3A%2F%2Fwww.webofscience.com%2Fwos%2Fwoscc%2Ffull-record%2FWOS:000179772800030","View Full Record in Web of Science")</f>
        <v>View Full Record in Web of Science</v>
      </c>
    </row>
    <row r="434" spans="1:72" x14ac:dyDescent="0.15">
      <c r="A434" t="s">
        <v>552</v>
      </c>
      <c r="B434" t="s">
        <v>6116</v>
      </c>
      <c r="C434" t="s">
        <v>74</v>
      </c>
      <c r="D434" t="s">
        <v>74</v>
      </c>
      <c r="E434" t="s">
        <v>74</v>
      </c>
      <c r="F434" t="s">
        <v>6116</v>
      </c>
      <c r="G434" t="s">
        <v>74</v>
      </c>
      <c r="H434" t="s">
        <v>74</v>
      </c>
      <c r="I434" t="s">
        <v>6117</v>
      </c>
      <c r="J434" t="s">
        <v>6118</v>
      </c>
      <c r="K434" t="s">
        <v>74</v>
      </c>
      <c r="L434" t="s">
        <v>74</v>
      </c>
      <c r="M434" t="s">
        <v>78</v>
      </c>
      <c r="N434" t="s">
        <v>775</v>
      </c>
      <c r="O434" t="s">
        <v>74</v>
      </c>
      <c r="P434" t="s">
        <v>74</v>
      </c>
      <c r="Q434" t="s">
        <v>74</v>
      </c>
      <c r="R434" t="s">
        <v>74</v>
      </c>
      <c r="S434" t="s">
        <v>74</v>
      </c>
      <c r="T434" t="s">
        <v>6119</v>
      </c>
      <c r="U434" t="s">
        <v>6120</v>
      </c>
      <c r="V434" t="s">
        <v>6121</v>
      </c>
      <c r="W434" t="s">
        <v>6122</v>
      </c>
      <c r="X434" t="s">
        <v>6123</v>
      </c>
      <c r="Y434" t="s">
        <v>6124</v>
      </c>
      <c r="Z434" t="s">
        <v>6125</v>
      </c>
      <c r="AA434" t="s">
        <v>74</v>
      </c>
      <c r="AB434" t="s">
        <v>74</v>
      </c>
      <c r="AC434" t="s">
        <v>74</v>
      </c>
      <c r="AD434" t="s">
        <v>74</v>
      </c>
      <c r="AE434" t="s">
        <v>74</v>
      </c>
      <c r="AF434" t="s">
        <v>74</v>
      </c>
      <c r="AG434">
        <v>70</v>
      </c>
      <c r="AH434">
        <v>18</v>
      </c>
      <c r="AI434">
        <v>19</v>
      </c>
      <c r="AJ434">
        <v>0</v>
      </c>
      <c r="AK434">
        <v>7</v>
      </c>
      <c r="AL434" t="s">
        <v>6126</v>
      </c>
      <c r="AM434" t="s">
        <v>6127</v>
      </c>
      <c r="AN434" t="s">
        <v>6128</v>
      </c>
      <c r="AO434" t="s">
        <v>6129</v>
      </c>
      <c r="AP434" t="s">
        <v>6130</v>
      </c>
      <c r="AQ434" t="s">
        <v>74</v>
      </c>
      <c r="AR434" t="s">
        <v>6131</v>
      </c>
      <c r="AS434" t="s">
        <v>6132</v>
      </c>
      <c r="AT434" t="s">
        <v>5744</v>
      </c>
      <c r="AU434">
        <v>2002</v>
      </c>
      <c r="AV434">
        <v>38</v>
      </c>
      <c r="AW434">
        <v>4</v>
      </c>
      <c r="AX434" t="s">
        <v>74</v>
      </c>
      <c r="AY434" t="s">
        <v>74</v>
      </c>
      <c r="AZ434" t="s">
        <v>74</v>
      </c>
      <c r="BA434" t="s">
        <v>74</v>
      </c>
      <c r="BB434">
        <v>333</v>
      </c>
      <c r="BC434">
        <v>350</v>
      </c>
      <c r="BD434" t="s">
        <v>74</v>
      </c>
      <c r="BE434" t="s">
        <v>6133</v>
      </c>
      <c r="BF434" t="str">
        <f>HYPERLINK("http://dx.doi.org/10.1078/0932-4739-00860","http://dx.doi.org/10.1078/0932-4739-00860")</f>
        <v>http://dx.doi.org/10.1078/0932-4739-00860</v>
      </c>
      <c r="BG434" t="s">
        <v>74</v>
      </c>
      <c r="BH434" t="s">
        <v>74</v>
      </c>
      <c r="BI434">
        <v>18</v>
      </c>
      <c r="BJ434" t="s">
        <v>2446</v>
      </c>
      <c r="BK434" t="s">
        <v>569</v>
      </c>
      <c r="BL434" t="s">
        <v>2446</v>
      </c>
      <c r="BM434" t="s">
        <v>6134</v>
      </c>
      <c r="BN434" t="s">
        <v>74</v>
      </c>
      <c r="BO434" t="s">
        <v>74</v>
      </c>
      <c r="BP434" t="s">
        <v>74</v>
      </c>
      <c r="BQ434" t="s">
        <v>74</v>
      </c>
      <c r="BR434" t="s">
        <v>98</v>
      </c>
      <c r="BS434" t="s">
        <v>6135</v>
      </c>
      <c r="BT434" t="str">
        <f>HYPERLINK("https%3A%2F%2Fwww.webofscience.com%2Fwos%2Fwoscc%2Ffull-record%2FWOS:000181030300002","View Full Record in Web of Science")</f>
        <v>View Full Record in Web of Science</v>
      </c>
    </row>
    <row r="435" spans="1:72" x14ac:dyDescent="0.15">
      <c r="A435" t="s">
        <v>552</v>
      </c>
      <c r="B435" t="s">
        <v>6136</v>
      </c>
      <c r="C435" t="s">
        <v>74</v>
      </c>
      <c r="D435" t="s">
        <v>74</v>
      </c>
      <c r="E435" t="s">
        <v>74</v>
      </c>
      <c r="F435" t="s">
        <v>6136</v>
      </c>
      <c r="G435" t="s">
        <v>74</v>
      </c>
      <c r="H435" t="s">
        <v>74</v>
      </c>
      <c r="I435" t="s">
        <v>6137</v>
      </c>
      <c r="J435" t="s">
        <v>6138</v>
      </c>
      <c r="K435" t="s">
        <v>74</v>
      </c>
      <c r="L435" t="s">
        <v>74</v>
      </c>
      <c r="M435" t="s">
        <v>78</v>
      </c>
      <c r="N435" t="s">
        <v>775</v>
      </c>
      <c r="O435" t="s">
        <v>74</v>
      </c>
      <c r="P435" t="s">
        <v>74</v>
      </c>
      <c r="Q435" t="s">
        <v>74</v>
      </c>
      <c r="R435" t="s">
        <v>74</v>
      </c>
      <c r="S435" t="s">
        <v>74</v>
      </c>
      <c r="T435" t="s">
        <v>6139</v>
      </c>
      <c r="U435" t="s">
        <v>6140</v>
      </c>
      <c r="V435" t="s">
        <v>6141</v>
      </c>
      <c r="W435" t="s">
        <v>6142</v>
      </c>
      <c r="X435" t="s">
        <v>6143</v>
      </c>
      <c r="Y435" t="s">
        <v>6144</v>
      </c>
      <c r="Z435" t="s">
        <v>74</v>
      </c>
      <c r="AA435" t="s">
        <v>74</v>
      </c>
      <c r="AB435" t="s">
        <v>6145</v>
      </c>
      <c r="AC435" t="s">
        <v>74</v>
      </c>
      <c r="AD435" t="s">
        <v>74</v>
      </c>
      <c r="AE435" t="s">
        <v>74</v>
      </c>
      <c r="AF435" t="s">
        <v>74</v>
      </c>
      <c r="AG435">
        <v>34</v>
      </c>
      <c r="AH435">
        <v>9</v>
      </c>
      <c r="AI435">
        <v>10</v>
      </c>
      <c r="AJ435">
        <v>0</v>
      </c>
      <c r="AK435">
        <v>7</v>
      </c>
      <c r="AL435" t="s">
        <v>2581</v>
      </c>
      <c r="AM435" t="s">
        <v>807</v>
      </c>
      <c r="AN435" t="s">
        <v>6146</v>
      </c>
      <c r="AO435" t="s">
        <v>6147</v>
      </c>
      <c r="AP435" t="s">
        <v>74</v>
      </c>
      <c r="AQ435" t="s">
        <v>74</v>
      </c>
      <c r="AR435" t="s">
        <v>6148</v>
      </c>
      <c r="AS435" t="s">
        <v>6149</v>
      </c>
      <c r="AT435" t="s">
        <v>5744</v>
      </c>
      <c r="AU435">
        <v>2002</v>
      </c>
      <c r="AV435">
        <v>16</v>
      </c>
      <c r="AW435">
        <v>6</v>
      </c>
      <c r="AX435" t="s">
        <v>74</v>
      </c>
      <c r="AY435" t="s">
        <v>74</v>
      </c>
      <c r="AZ435" t="s">
        <v>74</v>
      </c>
      <c r="BA435" t="s">
        <v>74</v>
      </c>
      <c r="BB435">
        <v>714</v>
      </c>
      <c r="BC435">
        <v>726</v>
      </c>
      <c r="BD435" t="s">
        <v>74</v>
      </c>
      <c r="BE435" t="s">
        <v>6150</v>
      </c>
      <c r="BF435" t="str">
        <f>HYPERLINK("http://dx.doi.org/10.1046/j.1365-2435.2002.00677.x","http://dx.doi.org/10.1046/j.1365-2435.2002.00677.x")</f>
        <v>http://dx.doi.org/10.1046/j.1365-2435.2002.00677.x</v>
      </c>
      <c r="BG435" t="s">
        <v>74</v>
      </c>
      <c r="BH435" t="s">
        <v>74</v>
      </c>
      <c r="BI435">
        <v>13</v>
      </c>
      <c r="BJ435" t="s">
        <v>5794</v>
      </c>
      <c r="BK435" t="s">
        <v>569</v>
      </c>
      <c r="BL435" t="s">
        <v>1195</v>
      </c>
      <c r="BM435" t="s">
        <v>6151</v>
      </c>
      <c r="BN435" t="s">
        <v>74</v>
      </c>
      <c r="BO435" t="s">
        <v>572</v>
      </c>
      <c r="BP435" t="s">
        <v>74</v>
      </c>
      <c r="BQ435" t="s">
        <v>74</v>
      </c>
      <c r="BR435" t="s">
        <v>98</v>
      </c>
      <c r="BS435" t="s">
        <v>6152</v>
      </c>
      <c r="BT435" t="str">
        <f>HYPERLINK("https%3A%2F%2Fwww.webofscience.com%2Fwos%2Fwoscc%2Ffull-record%2FWOS:000179803400002","View Full Record in Web of Science")</f>
        <v>View Full Record in Web of Science</v>
      </c>
    </row>
    <row r="436" spans="1:72" x14ac:dyDescent="0.15">
      <c r="A436" t="s">
        <v>552</v>
      </c>
      <c r="B436" t="s">
        <v>6153</v>
      </c>
      <c r="C436" t="s">
        <v>74</v>
      </c>
      <c r="D436" t="s">
        <v>74</v>
      </c>
      <c r="E436" t="s">
        <v>74</v>
      </c>
      <c r="F436" t="s">
        <v>6153</v>
      </c>
      <c r="G436" t="s">
        <v>74</v>
      </c>
      <c r="H436" t="s">
        <v>74</v>
      </c>
      <c r="I436" t="s">
        <v>6154</v>
      </c>
      <c r="J436" t="s">
        <v>6155</v>
      </c>
      <c r="K436" t="s">
        <v>74</v>
      </c>
      <c r="L436" t="s">
        <v>74</v>
      </c>
      <c r="M436" t="s">
        <v>78</v>
      </c>
      <c r="N436" t="s">
        <v>6156</v>
      </c>
      <c r="O436" t="s">
        <v>74</v>
      </c>
      <c r="P436" t="s">
        <v>74</v>
      </c>
      <c r="Q436" t="s">
        <v>74</v>
      </c>
      <c r="R436" t="s">
        <v>74</v>
      </c>
      <c r="S436" t="s">
        <v>74</v>
      </c>
      <c r="T436" t="s">
        <v>74</v>
      </c>
      <c r="U436" t="s">
        <v>74</v>
      </c>
      <c r="V436" t="s">
        <v>74</v>
      </c>
      <c r="W436" t="s">
        <v>74</v>
      </c>
      <c r="X436" t="s">
        <v>74</v>
      </c>
      <c r="Y436" t="s">
        <v>74</v>
      </c>
      <c r="Z436" t="s">
        <v>74</v>
      </c>
      <c r="AA436" t="s">
        <v>74</v>
      </c>
      <c r="AB436" t="s">
        <v>74</v>
      </c>
      <c r="AC436" t="s">
        <v>74</v>
      </c>
      <c r="AD436" t="s">
        <v>74</v>
      </c>
      <c r="AE436" t="s">
        <v>74</v>
      </c>
      <c r="AF436" t="s">
        <v>74</v>
      </c>
      <c r="AG436">
        <v>0</v>
      </c>
      <c r="AH436">
        <v>0</v>
      </c>
      <c r="AI436">
        <v>0</v>
      </c>
      <c r="AJ436">
        <v>0</v>
      </c>
      <c r="AK436">
        <v>0</v>
      </c>
      <c r="AL436" t="s">
        <v>6157</v>
      </c>
      <c r="AM436" t="s">
        <v>6158</v>
      </c>
      <c r="AN436" t="s">
        <v>6159</v>
      </c>
      <c r="AO436" t="s">
        <v>6160</v>
      </c>
      <c r="AP436" t="s">
        <v>74</v>
      </c>
      <c r="AQ436" t="s">
        <v>74</v>
      </c>
      <c r="AR436" t="s">
        <v>6161</v>
      </c>
      <c r="AS436" t="s">
        <v>6162</v>
      </c>
      <c r="AT436" t="s">
        <v>6163</v>
      </c>
      <c r="AU436">
        <v>2002</v>
      </c>
      <c r="AV436">
        <v>56</v>
      </c>
      <c r="AW436">
        <v>4</v>
      </c>
      <c r="AX436" t="s">
        <v>74</v>
      </c>
      <c r="AY436" t="s">
        <v>74</v>
      </c>
      <c r="AZ436" t="s">
        <v>74</v>
      </c>
      <c r="BA436" t="s">
        <v>74</v>
      </c>
      <c r="BB436">
        <v>948</v>
      </c>
      <c r="BC436">
        <v>957</v>
      </c>
      <c r="BD436" t="s">
        <v>74</v>
      </c>
      <c r="BE436" t="s">
        <v>74</v>
      </c>
      <c r="BF436" t="s">
        <v>74</v>
      </c>
      <c r="BG436" t="s">
        <v>74</v>
      </c>
      <c r="BH436" t="s">
        <v>74</v>
      </c>
      <c r="BI436">
        <v>10</v>
      </c>
      <c r="BJ436" t="s">
        <v>6164</v>
      </c>
      <c r="BK436" t="s">
        <v>4919</v>
      </c>
      <c r="BL436" t="s">
        <v>6165</v>
      </c>
      <c r="BM436" t="s">
        <v>6166</v>
      </c>
      <c r="BN436" t="s">
        <v>74</v>
      </c>
      <c r="BO436" t="s">
        <v>74</v>
      </c>
      <c r="BP436" t="s">
        <v>74</v>
      </c>
      <c r="BQ436" t="s">
        <v>74</v>
      </c>
      <c r="BR436" t="s">
        <v>98</v>
      </c>
      <c r="BS436" t="s">
        <v>6167</v>
      </c>
      <c r="BT436" t="str">
        <f>HYPERLINK("https%3A%2F%2Fwww.webofscience.com%2Fwos%2Fwoscc%2Ffull-record%2FWOS:000181502200016","View Full Record in Web of Science")</f>
        <v>View Full Record in Web of Science</v>
      </c>
    </row>
    <row r="437" spans="1:72" x14ac:dyDescent="0.15">
      <c r="A437" t="s">
        <v>552</v>
      </c>
      <c r="B437" t="s">
        <v>6168</v>
      </c>
      <c r="C437" t="s">
        <v>74</v>
      </c>
      <c r="D437" t="s">
        <v>74</v>
      </c>
      <c r="E437" t="s">
        <v>74</v>
      </c>
      <c r="F437" t="s">
        <v>6168</v>
      </c>
      <c r="G437" t="s">
        <v>74</v>
      </c>
      <c r="H437" t="s">
        <v>74</v>
      </c>
      <c r="I437" t="s">
        <v>6169</v>
      </c>
      <c r="J437" t="s">
        <v>6170</v>
      </c>
      <c r="K437" t="s">
        <v>74</v>
      </c>
      <c r="L437" t="s">
        <v>74</v>
      </c>
      <c r="M437" t="s">
        <v>78</v>
      </c>
      <c r="N437" t="s">
        <v>775</v>
      </c>
      <c r="O437" t="s">
        <v>74</v>
      </c>
      <c r="P437" t="s">
        <v>74</v>
      </c>
      <c r="Q437" t="s">
        <v>74</v>
      </c>
      <c r="R437" t="s">
        <v>74</v>
      </c>
      <c r="S437" t="s">
        <v>74</v>
      </c>
      <c r="T437" t="s">
        <v>6171</v>
      </c>
      <c r="U437" t="s">
        <v>6172</v>
      </c>
      <c r="V437" t="s">
        <v>6173</v>
      </c>
      <c r="W437" t="s">
        <v>3992</v>
      </c>
      <c r="X437" t="s">
        <v>239</v>
      </c>
      <c r="Y437" t="s">
        <v>6174</v>
      </c>
      <c r="Z437" t="s">
        <v>74</v>
      </c>
      <c r="AA437" t="s">
        <v>1070</v>
      </c>
      <c r="AB437" t="s">
        <v>1071</v>
      </c>
      <c r="AC437" t="s">
        <v>74</v>
      </c>
      <c r="AD437" t="s">
        <v>74</v>
      </c>
      <c r="AE437" t="s">
        <v>74</v>
      </c>
      <c r="AF437" t="s">
        <v>74</v>
      </c>
      <c r="AG437">
        <v>38</v>
      </c>
      <c r="AH437">
        <v>77</v>
      </c>
      <c r="AI437">
        <v>80</v>
      </c>
      <c r="AJ437">
        <v>0</v>
      </c>
      <c r="AK437">
        <v>22</v>
      </c>
      <c r="AL437" t="s">
        <v>2112</v>
      </c>
      <c r="AM437" t="s">
        <v>2113</v>
      </c>
      <c r="AN437" t="s">
        <v>2114</v>
      </c>
      <c r="AO437" t="s">
        <v>6175</v>
      </c>
      <c r="AP437" t="s">
        <v>74</v>
      </c>
      <c r="AQ437" t="s">
        <v>74</v>
      </c>
      <c r="AR437" t="s">
        <v>6176</v>
      </c>
      <c r="AS437" t="s">
        <v>6177</v>
      </c>
      <c r="AT437" t="s">
        <v>5744</v>
      </c>
      <c r="AU437">
        <v>2002</v>
      </c>
      <c r="AV437">
        <v>59</v>
      </c>
      <c r="AW437">
        <v>6</v>
      </c>
      <c r="AX437" t="s">
        <v>74</v>
      </c>
      <c r="AY437" t="s">
        <v>74</v>
      </c>
      <c r="AZ437" t="s">
        <v>74</v>
      </c>
      <c r="BA437" t="s">
        <v>74</v>
      </c>
      <c r="BB437">
        <v>1326</v>
      </c>
      <c r="BC437">
        <v>1336</v>
      </c>
      <c r="BD437" t="s">
        <v>74</v>
      </c>
      <c r="BE437" t="s">
        <v>6178</v>
      </c>
      <c r="BF437" t="str">
        <f>HYPERLINK("http://dx.doi.org/10.1006/jmsc.2002.1309","http://dx.doi.org/10.1006/jmsc.2002.1309")</f>
        <v>http://dx.doi.org/10.1006/jmsc.2002.1309</v>
      </c>
      <c r="BG437" t="s">
        <v>74</v>
      </c>
      <c r="BH437" t="s">
        <v>74</v>
      </c>
      <c r="BI437">
        <v>11</v>
      </c>
      <c r="BJ437" t="s">
        <v>6179</v>
      </c>
      <c r="BK437" t="s">
        <v>569</v>
      </c>
      <c r="BL437" t="s">
        <v>6179</v>
      </c>
      <c r="BM437" t="s">
        <v>6180</v>
      </c>
      <c r="BN437" t="s">
        <v>74</v>
      </c>
      <c r="BO437" t="s">
        <v>74</v>
      </c>
      <c r="BP437" t="s">
        <v>74</v>
      </c>
      <c r="BQ437" t="s">
        <v>74</v>
      </c>
      <c r="BR437" t="s">
        <v>98</v>
      </c>
      <c r="BS437" t="s">
        <v>6181</v>
      </c>
      <c r="BT437" t="str">
        <f>HYPERLINK("https%3A%2F%2Fwww.webofscience.com%2Fwos%2Fwoscc%2Ffull-record%2FWOS:000179627000018","View Full Record in Web of Science")</f>
        <v>View Full Record in Web of Science</v>
      </c>
    </row>
    <row r="438" spans="1:72" x14ac:dyDescent="0.15">
      <c r="A438" t="s">
        <v>552</v>
      </c>
      <c r="B438" t="s">
        <v>6182</v>
      </c>
      <c r="C438" t="s">
        <v>74</v>
      </c>
      <c r="D438" t="s">
        <v>74</v>
      </c>
      <c r="E438" t="s">
        <v>74</v>
      </c>
      <c r="F438" t="s">
        <v>6182</v>
      </c>
      <c r="G438" t="s">
        <v>74</v>
      </c>
      <c r="H438" t="s">
        <v>74</v>
      </c>
      <c r="I438" t="s">
        <v>6183</v>
      </c>
      <c r="J438" t="s">
        <v>6184</v>
      </c>
      <c r="K438" t="s">
        <v>74</v>
      </c>
      <c r="L438" t="s">
        <v>74</v>
      </c>
      <c r="M438" t="s">
        <v>78</v>
      </c>
      <c r="N438" t="s">
        <v>775</v>
      </c>
      <c r="O438" t="s">
        <v>74</v>
      </c>
      <c r="P438" t="s">
        <v>74</v>
      </c>
      <c r="Q438" t="s">
        <v>74</v>
      </c>
      <c r="R438" t="s">
        <v>74</v>
      </c>
      <c r="S438" t="s">
        <v>74</v>
      </c>
      <c r="T438" t="s">
        <v>74</v>
      </c>
      <c r="U438" t="s">
        <v>74</v>
      </c>
      <c r="V438" t="s">
        <v>6185</v>
      </c>
      <c r="W438" t="s">
        <v>3992</v>
      </c>
      <c r="X438" t="s">
        <v>239</v>
      </c>
      <c r="Y438" t="s">
        <v>2508</v>
      </c>
      <c r="Z438" t="s">
        <v>74</v>
      </c>
      <c r="AA438" t="s">
        <v>74</v>
      </c>
      <c r="AB438" t="s">
        <v>74</v>
      </c>
      <c r="AC438" t="s">
        <v>74</v>
      </c>
      <c r="AD438" t="s">
        <v>74</v>
      </c>
      <c r="AE438" t="s">
        <v>74</v>
      </c>
      <c r="AF438" t="s">
        <v>74</v>
      </c>
      <c r="AG438">
        <v>11</v>
      </c>
      <c r="AH438">
        <v>0</v>
      </c>
      <c r="AI438">
        <v>0</v>
      </c>
      <c r="AJ438">
        <v>0</v>
      </c>
      <c r="AK438">
        <v>3</v>
      </c>
      <c r="AL438" t="s">
        <v>2633</v>
      </c>
      <c r="AM438" t="s">
        <v>2634</v>
      </c>
      <c r="AN438" t="s">
        <v>2635</v>
      </c>
      <c r="AO438" t="s">
        <v>6186</v>
      </c>
      <c r="AP438" t="s">
        <v>74</v>
      </c>
      <c r="AQ438" t="s">
        <v>74</v>
      </c>
      <c r="AR438" t="s">
        <v>6187</v>
      </c>
      <c r="AS438" t="s">
        <v>6188</v>
      </c>
      <c r="AT438" t="s">
        <v>6163</v>
      </c>
      <c r="AU438">
        <v>2002</v>
      </c>
      <c r="AV438">
        <v>27</v>
      </c>
      <c r="AW438">
        <v>4</v>
      </c>
      <c r="AX438" t="s">
        <v>74</v>
      </c>
      <c r="AY438" t="s">
        <v>74</v>
      </c>
      <c r="AZ438" t="s">
        <v>74</v>
      </c>
      <c r="BA438" t="s">
        <v>74</v>
      </c>
      <c r="BB438">
        <v>278</v>
      </c>
      <c r="BC438">
        <v>286</v>
      </c>
      <c r="BD438" t="s">
        <v>74</v>
      </c>
      <c r="BE438" t="s">
        <v>6189</v>
      </c>
      <c r="BF438" t="str">
        <f>HYPERLINK("http://dx.doi.org/10.1179/030801802225005734","http://dx.doi.org/10.1179/030801802225005734")</f>
        <v>http://dx.doi.org/10.1179/030801802225005734</v>
      </c>
      <c r="BG438" t="s">
        <v>74</v>
      </c>
      <c r="BH438" t="s">
        <v>74</v>
      </c>
      <c r="BI438">
        <v>9</v>
      </c>
      <c r="BJ438" t="s">
        <v>6190</v>
      </c>
      <c r="BK438" t="s">
        <v>6191</v>
      </c>
      <c r="BL438" t="s">
        <v>6192</v>
      </c>
      <c r="BM438" t="s">
        <v>6193</v>
      </c>
      <c r="BN438" t="s">
        <v>74</v>
      </c>
      <c r="BO438" t="s">
        <v>74</v>
      </c>
      <c r="BP438" t="s">
        <v>74</v>
      </c>
      <c r="BQ438" t="s">
        <v>74</v>
      </c>
      <c r="BR438" t="s">
        <v>98</v>
      </c>
      <c r="BS438" t="s">
        <v>6194</v>
      </c>
      <c r="BT438" t="str">
        <f>HYPERLINK("https%3A%2F%2Fwww.webofscience.com%2Fwos%2Fwoscc%2Ffull-record%2FWOS:000180793700006","View Full Record in Web of Science")</f>
        <v>View Full Record in Web of Science</v>
      </c>
    </row>
    <row r="439" spans="1:72" x14ac:dyDescent="0.15">
      <c r="A439" t="s">
        <v>552</v>
      </c>
      <c r="B439" t="s">
        <v>6195</v>
      </c>
      <c r="C439" t="s">
        <v>74</v>
      </c>
      <c r="D439" t="s">
        <v>74</v>
      </c>
      <c r="E439" t="s">
        <v>74</v>
      </c>
      <c r="F439" t="s">
        <v>6195</v>
      </c>
      <c r="G439" t="s">
        <v>74</v>
      </c>
      <c r="H439" t="s">
        <v>74</v>
      </c>
      <c r="I439" t="s">
        <v>6196</v>
      </c>
      <c r="J439" t="s">
        <v>6197</v>
      </c>
      <c r="K439" t="s">
        <v>74</v>
      </c>
      <c r="L439" t="s">
        <v>74</v>
      </c>
      <c r="M439" t="s">
        <v>78</v>
      </c>
      <c r="N439" t="s">
        <v>6198</v>
      </c>
      <c r="O439" t="s">
        <v>74</v>
      </c>
      <c r="P439" t="s">
        <v>74</v>
      </c>
      <c r="Q439" t="s">
        <v>74</v>
      </c>
      <c r="R439" t="s">
        <v>74</v>
      </c>
      <c r="S439" t="s">
        <v>74</v>
      </c>
      <c r="T439" t="s">
        <v>74</v>
      </c>
      <c r="U439" t="s">
        <v>74</v>
      </c>
      <c r="V439" t="s">
        <v>74</v>
      </c>
      <c r="W439" t="s">
        <v>6199</v>
      </c>
      <c r="X439" t="s">
        <v>6200</v>
      </c>
      <c r="Y439" t="s">
        <v>6201</v>
      </c>
      <c r="Z439" t="s">
        <v>74</v>
      </c>
      <c r="AA439" t="s">
        <v>74</v>
      </c>
      <c r="AB439" t="s">
        <v>74</v>
      </c>
      <c r="AC439" t="s">
        <v>74</v>
      </c>
      <c r="AD439" t="s">
        <v>74</v>
      </c>
      <c r="AE439" t="s">
        <v>74</v>
      </c>
      <c r="AF439" t="s">
        <v>74</v>
      </c>
      <c r="AG439">
        <v>1</v>
      </c>
      <c r="AH439">
        <v>0</v>
      </c>
      <c r="AI439">
        <v>0</v>
      </c>
      <c r="AJ439">
        <v>0</v>
      </c>
      <c r="AK439">
        <v>0</v>
      </c>
      <c r="AL439" t="s">
        <v>4419</v>
      </c>
      <c r="AM439" t="s">
        <v>4420</v>
      </c>
      <c r="AN439" t="s">
        <v>4421</v>
      </c>
      <c r="AO439" t="s">
        <v>6202</v>
      </c>
      <c r="AP439" t="s">
        <v>74</v>
      </c>
      <c r="AQ439" t="s">
        <v>74</v>
      </c>
      <c r="AR439" t="s">
        <v>6197</v>
      </c>
      <c r="AS439" t="s">
        <v>6203</v>
      </c>
      <c r="AT439" t="s">
        <v>5744</v>
      </c>
      <c r="AU439">
        <v>2002</v>
      </c>
      <c r="AV439">
        <v>93</v>
      </c>
      <c r="AW439">
        <v>4</v>
      </c>
      <c r="AX439" t="s">
        <v>74</v>
      </c>
      <c r="AY439" t="s">
        <v>74</v>
      </c>
      <c r="AZ439" t="s">
        <v>74</v>
      </c>
      <c r="BA439" t="s">
        <v>74</v>
      </c>
      <c r="BB439">
        <v>712</v>
      </c>
      <c r="BC439">
        <v>713</v>
      </c>
      <c r="BD439" t="s">
        <v>74</v>
      </c>
      <c r="BE439" t="s">
        <v>6204</v>
      </c>
      <c r="BF439" t="str">
        <f>HYPERLINK("http://dx.doi.org/10.1086/376018","http://dx.doi.org/10.1086/376018")</f>
        <v>http://dx.doi.org/10.1086/376018</v>
      </c>
      <c r="BG439" t="s">
        <v>74</v>
      </c>
      <c r="BH439" t="s">
        <v>74</v>
      </c>
      <c r="BI439">
        <v>2</v>
      </c>
      <c r="BJ439" t="s">
        <v>6205</v>
      </c>
      <c r="BK439" t="s">
        <v>6206</v>
      </c>
      <c r="BL439" t="s">
        <v>6207</v>
      </c>
      <c r="BM439" t="s">
        <v>6208</v>
      </c>
      <c r="BN439" t="s">
        <v>74</v>
      </c>
      <c r="BO439" t="s">
        <v>74</v>
      </c>
      <c r="BP439" t="s">
        <v>74</v>
      </c>
      <c r="BQ439" t="s">
        <v>74</v>
      </c>
      <c r="BR439" t="s">
        <v>98</v>
      </c>
      <c r="BS439" t="s">
        <v>6209</v>
      </c>
      <c r="BT439" t="str">
        <f>HYPERLINK("https%3A%2F%2Fwww.webofscience.com%2Fwos%2Fwoscc%2Ffull-record%2FWOS:000181685200067","View Full Record in Web of Science")</f>
        <v>View Full Record in Web of Science</v>
      </c>
    </row>
    <row r="440" spans="1:72" x14ac:dyDescent="0.15">
      <c r="A440" t="s">
        <v>552</v>
      </c>
      <c r="B440" t="s">
        <v>6210</v>
      </c>
      <c r="C440" t="s">
        <v>74</v>
      </c>
      <c r="D440" t="s">
        <v>74</v>
      </c>
      <c r="E440" t="s">
        <v>74</v>
      </c>
      <c r="F440" t="s">
        <v>6210</v>
      </c>
      <c r="G440" t="s">
        <v>74</v>
      </c>
      <c r="H440" t="s">
        <v>74</v>
      </c>
      <c r="I440" t="s">
        <v>6211</v>
      </c>
      <c r="J440" t="s">
        <v>6212</v>
      </c>
      <c r="K440" t="s">
        <v>74</v>
      </c>
      <c r="L440" t="s">
        <v>74</v>
      </c>
      <c r="M440" t="s">
        <v>78</v>
      </c>
      <c r="N440" t="s">
        <v>775</v>
      </c>
      <c r="O440" t="s">
        <v>74</v>
      </c>
      <c r="P440" t="s">
        <v>74</v>
      </c>
      <c r="Q440" t="s">
        <v>74</v>
      </c>
      <c r="R440" t="s">
        <v>74</v>
      </c>
      <c r="S440" t="s">
        <v>74</v>
      </c>
      <c r="T440" t="s">
        <v>74</v>
      </c>
      <c r="U440" t="s">
        <v>6213</v>
      </c>
      <c r="V440" t="s">
        <v>6214</v>
      </c>
      <c r="W440" t="s">
        <v>6215</v>
      </c>
      <c r="X440" t="s">
        <v>239</v>
      </c>
      <c r="Y440" t="s">
        <v>6216</v>
      </c>
      <c r="Z440" t="s">
        <v>74</v>
      </c>
      <c r="AA440" t="s">
        <v>5636</v>
      </c>
      <c r="AB440" t="s">
        <v>5637</v>
      </c>
      <c r="AC440" t="s">
        <v>74</v>
      </c>
      <c r="AD440" t="s">
        <v>74</v>
      </c>
      <c r="AE440" t="s">
        <v>74</v>
      </c>
      <c r="AF440" t="s">
        <v>74</v>
      </c>
      <c r="AG440">
        <v>33</v>
      </c>
      <c r="AH440">
        <v>15</v>
      </c>
      <c r="AI440">
        <v>18</v>
      </c>
      <c r="AJ440">
        <v>0</v>
      </c>
      <c r="AK440">
        <v>9</v>
      </c>
      <c r="AL440" t="s">
        <v>2652</v>
      </c>
      <c r="AM440" t="s">
        <v>2653</v>
      </c>
      <c r="AN440" t="s">
        <v>2654</v>
      </c>
      <c r="AO440" t="s">
        <v>6217</v>
      </c>
      <c r="AP440" t="s">
        <v>74</v>
      </c>
      <c r="AQ440" t="s">
        <v>74</v>
      </c>
      <c r="AR440" t="s">
        <v>6218</v>
      </c>
      <c r="AS440" t="s">
        <v>6219</v>
      </c>
      <c r="AT440" t="s">
        <v>5744</v>
      </c>
      <c r="AU440">
        <v>2002</v>
      </c>
      <c r="AV440">
        <v>19</v>
      </c>
      <c r="AW440">
        <v>12</v>
      </c>
      <c r="AX440" t="s">
        <v>74</v>
      </c>
      <c r="AY440" t="s">
        <v>74</v>
      </c>
      <c r="AZ440" t="s">
        <v>74</v>
      </c>
      <c r="BA440" t="s">
        <v>74</v>
      </c>
      <c r="BB440">
        <v>1978</v>
      </c>
      <c r="BC440">
        <v>1985</v>
      </c>
      <c r="BD440" t="s">
        <v>74</v>
      </c>
      <c r="BE440" t="s">
        <v>6220</v>
      </c>
      <c r="BF440" t="str">
        <f>HYPERLINK("http://dx.doi.org/10.1175/1520-0426(2002)019&lt;1978:APUATB&gt;2.0.CO;2","http://dx.doi.org/10.1175/1520-0426(2002)019&lt;1978:APUATB&gt;2.0.CO;2")</f>
        <v>http://dx.doi.org/10.1175/1520-0426(2002)019&lt;1978:APUATB&gt;2.0.CO;2</v>
      </c>
      <c r="BG440" t="s">
        <v>74</v>
      </c>
      <c r="BH440" t="s">
        <v>74</v>
      </c>
      <c r="BI440">
        <v>8</v>
      </c>
      <c r="BJ440" t="s">
        <v>6221</v>
      </c>
      <c r="BK440" t="s">
        <v>569</v>
      </c>
      <c r="BL440" t="s">
        <v>6222</v>
      </c>
      <c r="BM440" t="s">
        <v>6223</v>
      </c>
      <c r="BN440" t="s">
        <v>74</v>
      </c>
      <c r="BO440" t="s">
        <v>1574</v>
      </c>
      <c r="BP440" t="s">
        <v>74</v>
      </c>
      <c r="BQ440" t="s">
        <v>74</v>
      </c>
      <c r="BR440" t="s">
        <v>98</v>
      </c>
      <c r="BS440" t="s">
        <v>6224</v>
      </c>
      <c r="BT440" t="str">
        <f>HYPERLINK("https%3A%2F%2Fwww.webofscience.com%2Fwos%2Fwoscc%2Ffull-record%2FWOS:000179468100007","View Full Record in Web of Science")</f>
        <v>View Full Record in Web of Science</v>
      </c>
    </row>
    <row r="441" spans="1:72" x14ac:dyDescent="0.15">
      <c r="A441" t="s">
        <v>552</v>
      </c>
      <c r="B441" t="s">
        <v>6225</v>
      </c>
      <c r="C441" t="s">
        <v>74</v>
      </c>
      <c r="D441" t="s">
        <v>74</v>
      </c>
      <c r="E441" t="s">
        <v>74</v>
      </c>
      <c r="F441" t="s">
        <v>6225</v>
      </c>
      <c r="G441" t="s">
        <v>74</v>
      </c>
      <c r="H441" t="s">
        <v>74</v>
      </c>
      <c r="I441" t="s">
        <v>6226</v>
      </c>
      <c r="J441" t="s">
        <v>6227</v>
      </c>
      <c r="K441" t="s">
        <v>74</v>
      </c>
      <c r="L441" t="s">
        <v>74</v>
      </c>
      <c r="M441" t="s">
        <v>78</v>
      </c>
      <c r="N441" t="s">
        <v>775</v>
      </c>
      <c r="O441" t="s">
        <v>74</v>
      </c>
      <c r="P441" t="s">
        <v>74</v>
      </c>
      <c r="Q441" t="s">
        <v>74</v>
      </c>
      <c r="R441" t="s">
        <v>74</v>
      </c>
      <c r="S441" t="s">
        <v>74</v>
      </c>
      <c r="T441" t="s">
        <v>6228</v>
      </c>
      <c r="U441" t="s">
        <v>6229</v>
      </c>
      <c r="V441" t="s">
        <v>6230</v>
      </c>
      <c r="W441" t="s">
        <v>6231</v>
      </c>
      <c r="X441" t="s">
        <v>6232</v>
      </c>
      <c r="Y441" t="s">
        <v>6233</v>
      </c>
      <c r="Z441" t="s">
        <v>74</v>
      </c>
      <c r="AA441" t="s">
        <v>6234</v>
      </c>
      <c r="AB441" t="s">
        <v>6235</v>
      </c>
      <c r="AC441" t="s">
        <v>74</v>
      </c>
      <c r="AD441" t="s">
        <v>74</v>
      </c>
      <c r="AE441" t="s">
        <v>74</v>
      </c>
      <c r="AF441" t="s">
        <v>74</v>
      </c>
      <c r="AG441">
        <v>15</v>
      </c>
      <c r="AH441">
        <v>0</v>
      </c>
      <c r="AI441">
        <v>2</v>
      </c>
      <c r="AJ441">
        <v>0</v>
      </c>
      <c r="AK441">
        <v>1</v>
      </c>
      <c r="AL441" t="s">
        <v>806</v>
      </c>
      <c r="AM441" t="s">
        <v>807</v>
      </c>
      <c r="AN441" t="s">
        <v>808</v>
      </c>
      <c r="AO441" t="s">
        <v>6236</v>
      </c>
      <c r="AP441" t="s">
        <v>74</v>
      </c>
      <c r="AQ441" t="s">
        <v>74</v>
      </c>
      <c r="AR441" t="s">
        <v>6237</v>
      </c>
      <c r="AS441" t="s">
        <v>6238</v>
      </c>
      <c r="AT441" t="s">
        <v>5744</v>
      </c>
      <c r="AU441">
        <v>2002</v>
      </c>
      <c r="AV441">
        <v>64</v>
      </c>
      <c r="AW441">
        <v>18</v>
      </c>
      <c r="AX441" t="s">
        <v>74</v>
      </c>
      <c r="AY441" t="s">
        <v>74</v>
      </c>
      <c r="AZ441" t="s">
        <v>74</v>
      </c>
      <c r="BA441" t="s">
        <v>74</v>
      </c>
      <c r="BB441">
        <v>2013</v>
      </c>
      <c r="BC441">
        <v>2017</v>
      </c>
      <c r="BD441" t="s">
        <v>6239</v>
      </c>
      <c r="BE441" t="s">
        <v>74</v>
      </c>
      <c r="BF441" t="s">
        <v>74</v>
      </c>
      <c r="BG441" t="s">
        <v>74</v>
      </c>
      <c r="BH441" t="s">
        <v>74</v>
      </c>
      <c r="BI441">
        <v>5</v>
      </c>
      <c r="BJ441" t="s">
        <v>841</v>
      </c>
      <c r="BK441" t="s">
        <v>569</v>
      </c>
      <c r="BL441" t="s">
        <v>841</v>
      </c>
      <c r="BM441" t="s">
        <v>6240</v>
      </c>
      <c r="BN441" t="s">
        <v>74</v>
      </c>
      <c r="BO441" t="s">
        <v>74</v>
      </c>
      <c r="BP441" t="s">
        <v>74</v>
      </c>
      <c r="BQ441" t="s">
        <v>74</v>
      </c>
      <c r="BR441" t="s">
        <v>98</v>
      </c>
      <c r="BS441" t="s">
        <v>6241</v>
      </c>
      <c r="BT441" t="str">
        <f>HYPERLINK("https%3A%2F%2Fwww.webofscience.com%2Fwos%2Fwoscc%2Ffull-record%2FWOS:000179180100011","View Full Record in Web of Science")</f>
        <v>View Full Record in Web of Science</v>
      </c>
    </row>
    <row r="442" spans="1:72" x14ac:dyDescent="0.15">
      <c r="A442" t="s">
        <v>552</v>
      </c>
      <c r="B442" t="s">
        <v>6242</v>
      </c>
      <c r="C442" t="s">
        <v>74</v>
      </c>
      <c r="D442" t="s">
        <v>74</v>
      </c>
      <c r="E442" t="s">
        <v>74</v>
      </c>
      <c r="F442" t="s">
        <v>6242</v>
      </c>
      <c r="G442" t="s">
        <v>74</v>
      </c>
      <c r="H442" t="s">
        <v>74</v>
      </c>
      <c r="I442" t="s">
        <v>6243</v>
      </c>
      <c r="J442" t="s">
        <v>6244</v>
      </c>
      <c r="K442" t="s">
        <v>74</v>
      </c>
      <c r="L442" t="s">
        <v>74</v>
      </c>
      <c r="M442" t="s">
        <v>78</v>
      </c>
      <c r="N442" t="s">
        <v>775</v>
      </c>
      <c r="O442" t="s">
        <v>74</v>
      </c>
      <c r="P442" t="s">
        <v>74</v>
      </c>
      <c r="Q442" t="s">
        <v>74</v>
      </c>
      <c r="R442" t="s">
        <v>74</v>
      </c>
      <c r="S442" t="s">
        <v>74</v>
      </c>
      <c r="T442" t="s">
        <v>74</v>
      </c>
      <c r="U442" t="s">
        <v>6245</v>
      </c>
      <c r="V442" t="s">
        <v>6246</v>
      </c>
      <c r="W442" t="s">
        <v>6247</v>
      </c>
      <c r="X442" t="s">
        <v>6248</v>
      </c>
      <c r="Y442" t="s">
        <v>2436</v>
      </c>
      <c r="Z442" t="s">
        <v>6249</v>
      </c>
      <c r="AA442" t="s">
        <v>6250</v>
      </c>
      <c r="AB442" t="s">
        <v>6251</v>
      </c>
      <c r="AC442" t="s">
        <v>74</v>
      </c>
      <c r="AD442" t="s">
        <v>74</v>
      </c>
      <c r="AE442" t="s">
        <v>74</v>
      </c>
      <c r="AF442" t="s">
        <v>74</v>
      </c>
      <c r="AG442">
        <v>36</v>
      </c>
      <c r="AH442">
        <v>70</v>
      </c>
      <c r="AI442">
        <v>84</v>
      </c>
      <c r="AJ442">
        <v>1</v>
      </c>
      <c r="AK442">
        <v>12</v>
      </c>
      <c r="AL442" t="s">
        <v>6252</v>
      </c>
      <c r="AM442" t="s">
        <v>388</v>
      </c>
      <c r="AN442" t="s">
        <v>6253</v>
      </c>
      <c r="AO442" t="s">
        <v>6254</v>
      </c>
      <c r="AP442" t="s">
        <v>6255</v>
      </c>
      <c r="AQ442" t="s">
        <v>74</v>
      </c>
      <c r="AR442" t="s">
        <v>6256</v>
      </c>
      <c r="AS442" t="s">
        <v>6257</v>
      </c>
      <c r="AT442" t="s">
        <v>5744</v>
      </c>
      <c r="AU442">
        <v>2002</v>
      </c>
      <c r="AV442">
        <v>184</v>
      </c>
      <c r="AW442">
        <v>23</v>
      </c>
      <c r="AX442" t="s">
        <v>74</v>
      </c>
      <c r="AY442" t="s">
        <v>74</v>
      </c>
      <c r="AZ442" t="s">
        <v>74</v>
      </c>
      <c r="BA442" t="s">
        <v>74</v>
      </c>
      <c r="BB442">
        <v>6746</v>
      </c>
      <c r="BC442">
        <v>6749</v>
      </c>
      <c r="BD442" t="s">
        <v>74</v>
      </c>
      <c r="BE442" t="s">
        <v>6258</v>
      </c>
      <c r="BF442" t="str">
        <f>HYPERLINK("http://dx.doi.org/10.1128/JB.184.23.6746-6749.2002","http://dx.doi.org/10.1128/JB.184.23.6746-6749.2002")</f>
        <v>http://dx.doi.org/10.1128/JB.184.23.6746-6749.2002</v>
      </c>
      <c r="BG442" t="s">
        <v>74</v>
      </c>
      <c r="BH442" t="s">
        <v>74</v>
      </c>
      <c r="BI442">
        <v>4</v>
      </c>
      <c r="BJ442" t="s">
        <v>2446</v>
      </c>
      <c r="BK442" t="s">
        <v>569</v>
      </c>
      <c r="BL442" t="s">
        <v>2446</v>
      </c>
      <c r="BM442" t="s">
        <v>6259</v>
      </c>
      <c r="BN442">
        <v>12426366</v>
      </c>
      <c r="BO442" t="s">
        <v>794</v>
      </c>
      <c r="BP442" t="s">
        <v>74</v>
      </c>
      <c r="BQ442" t="s">
        <v>74</v>
      </c>
      <c r="BR442" t="s">
        <v>98</v>
      </c>
      <c r="BS442" t="s">
        <v>6260</v>
      </c>
      <c r="BT442" t="str">
        <f>HYPERLINK("https%3A%2F%2Fwww.webofscience.com%2Fwos%2Fwoscc%2Ffull-record%2FWOS:000179242600043","View Full Record in Web of Science")</f>
        <v>View Full Record in Web of Science</v>
      </c>
    </row>
    <row r="443" spans="1:72" x14ac:dyDescent="0.15">
      <c r="A443" t="s">
        <v>552</v>
      </c>
      <c r="B443" t="s">
        <v>6261</v>
      </c>
      <c r="C443" t="s">
        <v>74</v>
      </c>
      <c r="D443" t="s">
        <v>74</v>
      </c>
      <c r="E443" t="s">
        <v>74</v>
      </c>
      <c r="F443" t="s">
        <v>6261</v>
      </c>
      <c r="G443" t="s">
        <v>74</v>
      </c>
      <c r="H443" t="s">
        <v>74</v>
      </c>
      <c r="I443" t="s">
        <v>6262</v>
      </c>
      <c r="J443" t="s">
        <v>6263</v>
      </c>
      <c r="K443" t="s">
        <v>74</v>
      </c>
      <c r="L443" t="s">
        <v>74</v>
      </c>
      <c r="M443" t="s">
        <v>78</v>
      </c>
      <c r="N443" t="s">
        <v>775</v>
      </c>
      <c r="O443" t="s">
        <v>74</v>
      </c>
      <c r="P443" t="s">
        <v>74</v>
      </c>
      <c r="Q443" t="s">
        <v>74</v>
      </c>
      <c r="R443" t="s">
        <v>74</v>
      </c>
      <c r="S443" t="s">
        <v>74</v>
      </c>
      <c r="T443" t="s">
        <v>6264</v>
      </c>
      <c r="U443" t="s">
        <v>6265</v>
      </c>
      <c r="V443" t="s">
        <v>6266</v>
      </c>
      <c r="W443" t="s">
        <v>6267</v>
      </c>
      <c r="X443" t="s">
        <v>6093</v>
      </c>
      <c r="Y443" t="s">
        <v>6268</v>
      </c>
      <c r="Z443" t="s">
        <v>74</v>
      </c>
      <c r="AA443" t="s">
        <v>6269</v>
      </c>
      <c r="AB443" t="s">
        <v>74</v>
      </c>
      <c r="AC443" t="s">
        <v>74</v>
      </c>
      <c r="AD443" t="s">
        <v>74</v>
      </c>
      <c r="AE443" t="s">
        <v>74</v>
      </c>
      <c r="AF443" t="s">
        <v>74</v>
      </c>
      <c r="AG443">
        <v>55</v>
      </c>
      <c r="AH443">
        <v>35</v>
      </c>
      <c r="AI443">
        <v>39</v>
      </c>
      <c r="AJ443">
        <v>0</v>
      </c>
      <c r="AK443">
        <v>12</v>
      </c>
      <c r="AL443" t="s">
        <v>2581</v>
      </c>
      <c r="AM443" t="s">
        <v>807</v>
      </c>
      <c r="AN443" t="s">
        <v>6146</v>
      </c>
      <c r="AO443" t="s">
        <v>6270</v>
      </c>
      <c r="AP443" t="s">
        <v>74</v>
      </c>
      <c r="AQ443" t="s">
        <v>74</v>
      </c>
      <c r="AR443" t="s">
        <v>6271</v>
      </c>
      <c r="AS443" t="s">
        <v>6272</v>
      </c>
      <c r="AT443" t="s">
        <v>5744</v>
      </c>
      <c r="AU443">
        <v>2002</v>
      </c>
      <c r="AV443">
        <v>29</v>
      </c>
      <c r="AW443">
        <v>12</v>
      </c>
      <c r="AX443" t="s">
        <v>74</v>
      </c>
      <c r="AY443" t="s">
        <v>74</v>
      </c>
      <c r="AZ443" t="s">
        <v>74</v>
      </c>
      <c r="BA443" t="s">
        <v>74</v>
      </c>
      <c r="BB443">
        <v>1627</v>
      </c>
      <c r="BC443">
        <v>1641</v>
      </c>
      <c r="BD443" t="s">
        <v>74</v>
      </c>
      <c r="BE443" t="s">
        <v>6273</v>
      </c>
      <c r="BF443" t="str">
        <f>HYPERLINK("http://dx.doi.org/10.1046/j.1365-2699.2002.00793.x","http://dx.doi.org/10.1046/j.1365-2699.2002.00793.x")</f>
        <v>http://dx.doi.org/10.1046/j.1365-2699.2002.00793.x</v>
      </c>
      <c r="BG443" t="s">
        <v>74</v>
      </c>
      <c r="BH443" t="s">
        <v>74</v>
      </c>
      <c r="BI443">
        <v>15</v>
      </c>
      <c r="BJ443" t="s">
        <v>6274</v>
      </c>
      <c r="BK443" t="s">
        <v>569</v>
      </c>
      <c r="BL443" t="s">
        <v>6275</v>
      </c>
      <c r="BM443" t="s">
        <v>6276</v>
      </c>
      <c r="BN443" t="s">
        <v>74</v>
      </c>
      <c r="BO443" t="s">
        <v>74</v>
      </c>
      <c r="BP443" t="s">
        <v>74</v>
      </c>
      <c r="BQ443" t="s">
        <v>74</v>
      </c>
      <c r="BR443" t="s">
        <v>98</v>
      </c>
      <c r="BS443" t="s">
        <v>6277</v>
      </c>
      <c r="BT443" t="str">
        <f>HYPERLINK("https%3A%2F%2Fwww.webofscience.com%2Fwos%2Fwoscc%2Ffull-record%2FWOS:000179767400004","View Full Record in Web of Science")</f>
        <v>View Full Record in Web of Science</v>
      </c>
    </row>
    <row r="444" spans="1:72" x14ac:dyDescent="0.15">
      <c r="A444" t="s">
        <v>552</v>
      </c>
      <c r="B444" t="s">
        <v>6278</v>
      </c>
      <c r="C444" t="s">
        <v>74</v>
      </c>
      <c r="D444" t="s">
        <v>74</v>
      </c>
      <c r="E444" t="s">
        <v>74</v>
      </c>
      <c r="F444" t="s">
        <v>6278</v>
      </c>
      <c r="G444" t="s">
        <v>74</v>
      </c>
      <c r="H444" t="s">
        <v>74</v>
      </c>
      <c r="I444" t="s">
        <v>6279</v>
      </c>
      <c r="J444" t="s">
        <v>6280</v>
      </c>
      <c r="K444" t="s">
        <v>74</v>
      </c>
      <c r="L444" t="s">
        <v>74</v>
      </c>
      <c r="M444" t="s">
        <v>78</v>
      </c>
      <c r="N444" t="s">
        <v>1114</v>
      </c>
      <c r="O444" t="s">
        <v>74</v>
      </c>
      <c r="P444" t="s">
        <v>74</v>
      </c>
      <c r="Q444" t="s">
        <v>74</v>
      </c>
      <c r="R444" t="s">
        <v>74</v>
      </c>
      <c r="S444" t="s">
        <v>74</v>
      </c>
      <c r="T444" t="s">
        <v>6281</v>
      </c>
      <c r="U444" t="s">
        <v>6282</v>
      </c>
      <c r="V444" t="s">
        <v>6283</v>
      </c>
      <c r="W444" t="s">
        <v>6284</v>
      </c>
      <c r="X444" t="s">
        <v>6285</v>
      </c>
      <c r="Y444" t="s">
        <v>6286</v>
      </c>
      <c r="Z444" t="s">
        <v>74</v>
      </c>
      <c r="AA444" t="s">
        <v>74</v>
      </c>
      <c r="AB444" t="s">
        <v>74</v>
      </c>
      <c r="AC444" t="s">
        <v>74</v>
      </c>
      <c r="AD444" t="s">
        <v>74</v>
      </c>
      <c r="AE444" t="s">
        <v>74</v>
      </c>
      <c r="AF444" t="s">
        <v>74</v>
      </c>
      <c r="AG444">
        <v>36</v>
      </c>
      <c r="AH444">
        <v>94</v>
      </c>
      <c r="AI444">
        <v>121</v>
      </c>
      <c r="AJ444">
        <v>1</v>
      </c>
      <c r="AK444">
        <v>84</v>
      </c>
      <c r="AL444" t="s">
        <v>6287</v>
      </c>
      <c r="AM444" t="s">
        <v>6288</v>
      </c>
      <c r="AN444" t="s">
        <v>6289</v>
      </c>
      <c r="AO444" t="s">
        <v>6290</v>
      </c>
      <c r="AP444" t="s">
        <v>74</v>
      </c>
      <c r="AQ444" t="s">
        <v>74</v>
      </c>
      <c r="AR444" t="s">
        <v>6291</v>
      </c>
      <c r="AS444" t="s">
        <v>6292</v>
      </c>
      <c r="AT444" t="s">
        <v>5744</v>
      </c>
      <c r="AU444">
        <v>2002</v>
      </c>
      <c r="AV444">
        <v>94</v>
      </c>
      <c r="AW444">
        <v>6</v>
      </c>
      <c r="AX444" t="s">
        <v>74</v>
      </c>
      <c r="AY444" t="s">
        <v>74</v>
      </c>
      <c r="AZ444" t="s">
        <v>74</v>
      </c>
      <c r="BA444" t="s">
        <v>74</v>
      </c>
      <c r="BB444">
        <v>492</v>
      </c>
      <c r="BC444">
        <v>496</v>
      </c>
      <c r="BD444" t="s">
        <v>74</v>
      </c>
      <c r="BE444" t="s">
        <v>6293</v>
      </c>
      <c r="BF444" t="str">
        <f>HYPERLINK("http://dx.doi.org/10.1016/S1389-1723(02)80185-2","http://dx.doi.org/10.1016/S1389-1723(02)80185-2")</f>
        <v>http://dx.doi.org/10.1016/S1389-1723(02)80185-2</v>
      </c>
      <c r="BG444" t="s">
        <v>74</v>
      </c>
      <c r="BH444" t="s">
        <v>74</v>
      </c>
      <c r="BI444">
        <v>5</v>
      </c>
      <c r="BJ444" t="s">
        <v>6294</v>
      </c>
      <c r="BK444" t="s">
        <v>569</v>
      </c>
      <c r="BL444" t="s">
        <v>6294</v>
      </c>
      <c r="BM444" t="s">
        <v>6295</v>
      </c>
      <c r="BN444">
        <v>16233340</v>
      </c>
      <c r="BO444" t="s">
        <v>74</v>
      </c>
      <c r="BP444" t="s">
        <v>74</v>
      </c>
      <c r="BQ444" t="s">
        <v>74</v>
      </c>
      <c r="BR444" t="s">
        <v>98</v>
      </c>
      <c r="BS444" t="s">
        <v>6296</v>
      </c>
      <c r="BT444" t="str">
        <f>HYPERLINK("https%3A%2F%2Fwww.webofscience.com%2Fwos%2Fwoscc%2Ffull-record%2FWOS:000181143400002","View Full Record in Web of Science")</f>
        <v>View Full Record in Web of Science</v>
      </c>
    </row>
    <row r="445" spans="1:72" x14ac:dyDescent="0.15">
      <c r="A445" t="s">
        <v>552</v>
      </c>
      <c r="B445" t="s">
        <v>6297</v>
      </c>
      <c r="C445" t="s">
        <v>74</v>
      </c>
      <c r="D445" t="s">
        <v>74</v>
      </c>
      <c r="E445" t="s">
        <v>74</v>
      </c>
      <c r="F445" t="s">
        <v>6297</v>
      </c>
      <c r="G445" t="s">
        <v>74</v>
      </c>
      <c r="H445" t="s">
        <v>74</v>
      </c>
      <c r="I445" t="s">
        <v>6298</v>
      </c>
      <c r="J445" t="s">
        <v>2644</v>
      </c>
      <c r="K445" t="s">
        <v>74</v>
      </c>
      <c r="L445" t="s">
        <v>74</v>
      </c>
      <c r="M445" t="s">
        <v>78</v>
      </c>
      <c r="N445" t="s">
        <v>775</v>
      </c>
      <c r="O445" t="s">
        <v>74</v>
      </c>
      <c r="P445" t="s">
        <v>74</v>
      </c>
      <c r="Q445" t="s">
        <v>74</v>
      </c>
      <c r="R445" t="s">
        <v>74</v>
      </c>
      <c r="S445" t="s">
        <v>74</v>
      </c>
      <c r="T445" t="s">
        <v>74</v>
      </c>
      <c r="U445" t="s">
        <v>6299</v>
      </c>
      <c r="V445" t="s">
        <v>6300</v>
      </c>
      <c r="W445" t="s">
        <v>6301</v>
      </c>
      <c r="X445" t="s">
        <v>444</v>
      </c>
      <c r="Y445" t="s">
        <v>6302</v>
      </c>
      <c r="Z445" t="s">
        <v>74</v>
      </c>
      <c r="AA445" t="s">
        <v>74</v>
      </c>
      <c r="AB445" t="s">
        <v>74</v>
      </c>
      <c r="AC445" t="s">
        <v>74</v>
      </c>
      <c r="AD445" t="s">
        <v>74</v>
      </c>
      <c r="AE445" t="s">
        <v>74</v>
      </c>
      <c r="AF445" t="s">
        <v>74</v>
      </c>
      <c r="AG445">
        <v>28</v>
      </c>
      <c r="AH445">
        <v>60</v>
      </c>
      <c r="AI445">
        <v>65</v>
      </c>
      <c r="AJ445">
        <v>0</v>
      </c>
      <c r="AK445">
        <v>9</v>
      </c>
      <c r="AL445" t="s">
        <v>2652</v>
      </c>
      <c r="AM445" t="s">
        <v>2653</v>
      </c>
      <c r="AN445" t="s">
        <v>2654</v>
      </c>
      <c r="AO445" t="s">
        <v>2655</v>
      </c>
      <c r="AP445" t="s">
        <v>2684</v>
      </c>
      <c r="AQ445" t="s">
        <v>74</v>
      </c>
      <c r="AR445" t="s">
        <v>2656</v>
      </c>
      <c r="AS445" t="s">
        <v>2657</v>
      </c>
      <c r="AT445" t="s">
        <v>5744</v>
      </c>
      <c r="AU445">
        <v>2002</v>
      </c>
      <c r="AV445">
        <v>15</v>
      </c>
      <c r="AW445">
        <v>24</v>
      </c>
      <c r="AX445" t="s">
        <v>74</v>
      </c>
      <c r="AY445" t="s">
        <v>74</v>
      </c>
      <c r="AZ445" t="s">
        <v>74</v>
      </c>
      <c r="BA445" t="s">
        <v>74</v>
      </c>
      <c r="BB445">
        <v>3673</v>
      </c>
      <c r="BC445">
        <v>3685</v>
      </c>
      <c r="BD445" t="s">
        <v>74</v>
      </c>
      <c r="BE445" t="s">
        <v>6303</v>
      </c>
      <c r="BF445" t="str">
        <f>HYPERLINK("http://dx.doi.org/10.1175/1520-0442(2003)015&lt;3673:ICOTSC&gt;2.0.CO;2","http://dx.doi.org/10.1175/1520-0442(2003)015&lt;3673:ICOTSC&gt;2.0.CO;2")</f>
        <v>http://dx.doi.org/10.1175/1520-0442(2003)015&lt;3673:ICOTSC&gt;2.0.CO;2</v>
      </c>
      <c r="BG445" t="s">
        <v>74</v>
      </c>
      <c r="BH445" t="s">
        <v>74</v>
      </c>
      <c r="BI445">
        <v>13</v>
      </c>
      <c r="BJ445" t="s">
        <v>1237</v>
      </c>
      <c r="BK445" t="s">
        <v>569</v>
      </c>
      <c r="BL445" t="s">
        <v>1237</v>
      </c>
      <c r="BM445" t="s">
        <v>6304</v>
      </c>
      <c r="BN445" t="s">
        <v>74</v>
      </c>
      <c r="BO445" t="s">
        <v>2660</v>
      </c>
      <c r="BP445" t="s">
        <v>74</v>
      </c>
      <c r="BQ445" t="s">
        <v>74</v>
      </c>
      <c r="BR445" t="s">
        <v>98</v>
      </c>
      <c r="BS445" t="s">
        <v>6305</v>
      </c>
      <c r="BT445" t="str">
        <f>HYPERLINK("https%3A%2F%2Fwww.webofscience.com%2Fwos%2Fwoscc%2Ffull-record%2FWOS:000179814400010","View Full Record in Web of Science")</f>
        <v>View Full Record in Web of Science</v>
      </c>
    </row>
    <row r="446" spans="1:72" x14ac:dyDescent="0.15">
      <c r="A446" t="s">
        <v>552</v>
      </c>
      <c r="B446" t="s">
        <v>6306</v>
      </c>
      <c r="C446" t="s">
        <v>74</v>
      </c>
      <c r="D446" t="s">
        <v>74</v>
      </c>
      <c r="E446" t="s">
        <v>74</v>
      </c>
      <c r="F446" t="s">
        <v>6306</v>
      </c>
      <c r="G446" t="s">
        <v>74</v>
      </c>
      <c r="H446" t="s">
        <v>74</v>
      </c>
      <c r="I446" t="s">
        <v>6307</v>
      </c>
      <c r="J446" t="s">
        <v>6308</v>
      </c>
      <c r="K446" t="s">
        <v>74</v>
      </c>
      <c r="L446" t="s">
        <v>74</v>
      </c>
      <c r="M446" t="s">
        <v>78</v>
      </c>
      <c r="N446" t="s">
        <v>775</v>
      </c>
      <c r="O446" t="s">
        <v>74</v>
      </c>
      <c r="P446" t="s">
        <v>74</v>
      </c>
      <c r="Q446" t="s">
        <v>74</v>
      </c>
      <c r="R446" t="s">
        <v>74</v>
      </c>
      <c r="S446" t="s">
        <v>74</v>
      </c>
      <c r="T446" t="s">
        <v>74</v>
      </c>
      <c r="U446" t="s">
        <v>6309</v>
      </c>
      <c r="V446" t="s">
        <v>6310</v>
      </c>
      <c r="W446" t="s">
        <v>3493</v>
      </c>
      <c r="X446" t="s">
        <v>3494</v>
      </c>
      <c r="Y446" t="s">
        <v>2752</v>
      </c>
      <c r="Z446" t="s">
        <v>74</v>
      </c>
      <c r="AA446" t="s">
        <v>74</v>
      </c>
      <c r="AB446" t="s">
        <v>6311</v>
      </c>
      <c r="AC446" t="s">
        <v>74</v>
      </c>
      <c r="AD446" t="s">
        <v>74</v>
      </c>
      <c r="AE446" t="s">
        <v>74</v>
      </c>
      <c r="AF446" t="s">
        <v>74</v>
      </c>
      <c r="AG446">
        <v>24</v>
      </c>
      <c r="AH446">
        <v>40</v>
      </c>
      <c r="AI446">
        <v>43</v>
      </c>
      <c r="AJ446">
        <v>1</v>
      </c>
      <c r="AK446">
        <v>27</v>
      </c>
      <c r="AL446" t="s">
        <v>6312</v>
      </c>
      <c r="AM446" t="s">
        <v>6313</v>
      </c>
      <c r="AN446" t="s">
        <v>6314</v>
      </c>
      <c r="AO446" t="s">
        <v>6315</v>
      </c>
      <c r="AP446" t="s">
        <v>74</v>
      </c>
      <c r="AQ446" t="s">
        <v>74</v>
      </c>
      <c r="AR446" t="s">
        <v>6316</v>
      </c>
      <c r="AS446" t="s">
        <v>6317</v>
      </c>
      <c r="AT446" t="s">
        <v>5744</v>
      </c>
      <c r="AU446">
        <v>2002</v>
      </c>
      <c r="AV446">
        <v>76</v>
      </c>
      <c r="AW446">
        <v>4</v>
      </c>
      <c r="AX446" t="s">
        <v>74</v>
      </c>
      <c r="AY446" t="s">
        <v>74</v>
      </c>
      <c r="AZ446" t="s">
        <v>74</v>
      </c>
      <c r="BA446" t="s">
        <v>74</v>
      </c>
      <c r="BB446">
        <v>363</v>
      </c>
      <c r="BC446">
        <v>368</v>
      </c>
      <c r="BD446" t="s">
        <v>74</v>
      </c>
      <c r="BE446" t="s">
        <v>6318</v>
      </c>
      <c r="BF446" t="str">
        <f>HYPERLINK("http://dx.doi.org/10.1079/JOH2002149","http://dx.doi.org/10.1079/JOH2002149")</f>
        <v>http://dx.doi.org/10.1079/JOH2002149</v>
      </c>
      <c r="BG446" t="s">
        <v>74</v>
      </c>
      <c r="BH446" t="s">
        <v>74</v>
      </c>
      <c r="BI446">
        <v>6</v>
      </c>
      <c r="BJ446" t="s">
        <v>6319</v>
      </c>
      <c r="BK446" t="s">
        <v>569</v>
      </c>
      <c r="BL446" t="s">
        <v>6319</v>
      </c>
      <c r="BM446" t="s">
        <v>6320</v>
      </c>
      <c r="BN446">
        <v>12498643</v>
      </c>
      <c r="BO446" t="s">
        <v>74</v>
      </c>
      <c r="BP446" t="s">
        <v>74</v>
      </c>
      <c r="BQ446" t="s">
        <v>74</v>
      </c>
      <c r="BR446" t="s">
        <v>98</v>
      </c>
      <c r="BS446" t="s">
        <v>6321</v>
      </c>
      <c r="BT446" t="str">
        <f>HYPERLINK("https%3A%2F%2Fwww.webofscience.com%2Fwos%2Fwoscc%2Ffull-record%2FWOS:000179711800012","View Full Record in Web of Science")</f>
        <v>View Full Record in Web of Science</v>
      </c>
    </row>
    <row r="447" spans="1:72" x14ac:dyDescent="0.15">
      <c r="A447" t="s">
        <v>552</v>
      </c>
      <c r="B447" t="s">
        <v>6322</v>
      </c>
      <c r="C447" t="s">
        <v>74</v>
      </c>
      <c r="D447" t="s">
        <v>74</v>
      </c>
      <c r="E447" t="s">
        <v>74</v>
      </c>
      <c r="F447" t="s">
        <v>6322</v>
      </c>
      <c r="G447" t="s">
        <v>74</v>
      </c>
      <c r="H447" t="s">
        <v>74</v>
      </c>
      <c r="I447" t="s">
        <v>6323</v>
      </c>
      <c r="J447" t="s">
        <v>6324</v>
      </c>
      <c r="K447" t="s">
        <v>74</v>
      </c>
      <c r="L447" t="s">
        <v>74</v>
      </c>
      <c r="M447" t="s">
        <v>78</v>
      </c>
      <c r="N447" t="s">
        <v>775</v>
      </c>
      <c r="O447" t="s">
        <v>74</v>
      </c>
      <c r="P447" t="s">
        <v>74</v>
      </c>
      <c r="Q447" t="s">
        <v>74</v>
      </c>
      <c r="R447" t="s">
        <v>74</v>
      </c>
      <c r="S447" t="s">
        <v>74</v>
      </c>
      <c r="T447" t="s">
        <v>74</v>
      </c>
      <c r="U447" t="s">
        <v>6325</v>
      </c>
      <c r="V447" t="s">
        <v>6326</v>
      </c>
      <c r="W447" t="s">
        <v>6327</v>
      </c>
      <c r="X447" t="s">
        <v>6328</v>
      </c>
      <c r="Y447" t="s">
        <v>6329</v>
      </c>
      <c r="Z447" t="s">
        <v>6330</v>
      </c>
      <c r="AA447" t="s">
        <v>74</v>
      </c>
      <c r="AB447" t="s">
        <v>6331</v>
      </c>
      <c r="AC447" t="s">
        <v>74</v>
      </c>
      <c r="AD447" t="s">
        <v>74</v>
      </c>
      <c r="AE447" t="s">
        <v>74</v>
      </c>
      <c r="AF447" t="s">
        <v>74</v>
      </c>
      <c r="AG447">
        <v>43</v>
      </c>
      <c r="AH447">
        <v>140</v>
      </c>
      <c r="AI447">
        <v>154</v>
      </c>
      <c r="AJ447">
        <v>1</v>
      </c>
      <c r="AK447">
        <v>19</v>
      </c>
      <c r="AL447" t="s">
        <v>2652</v>
      </c>
      <c r="AM447" t="s">
        <v>2653</v>
      </c>
      <c r="AN447" t="s">
        <v>2654</v>
      </c>
      <c r="AO447" t="s">
        <v>6332</v>
      </c>
      <c r="AP447" t="s">
        <v>6333</v>
      </c>
      <c r="AQ447" t="s">
        <v>74</v>
      </c>
      <c r="AR447" t="s">
        <v>6334</v>
      </c>
      <c r="AS447" t="s">
        <v>6335</v>
      </c>
      <c r="AT447" t="s">
        <v>5744</v>
      </c>
      <c r="AU447">
        <v>2002</v>
      </c>
      <c r="AV447">
        <v>32</v>
      </c>
      <c r="AW447">
        <v>12</v>
      </c>
      <c r="AX447" t="s">
        <v>74</v>
      </c>
      <c r="AY447" t="s">
        <v>74</v>
      </c>
      <c r="AZ447" t="s">
        <v>74</v>
      </c>
      <c r="BA447" t="s">
        <v>74</v>
      </c>
      <c r="BB447">
        <v>3315</v>
      </c>
      <c r="BC447">
        <v>3327</v>
      </c>
      <c r="BD447" t="s">
        <v>74</v>
      </c>
      <c r="BE447" t="s">
        <v>6336</v>
      </c>
      <c r="BF447" t="str">
        <f>HYPERLINK("http://dx.doi.org/10.1175/1520-0485(2002)032&lt;3315:CTRCOT&gt;2.0.CO;2","http://dx.doi.org/10.1175/1520-0485(2002)032&lt;3315:CTRCOT&gt;2.0.CO;2")</f>
        <v>http://dx.doi.org/10.1175/1520-0485(2002)032&lt;3315:CTRCOT&gt;2.0.CO;2</v>
      </c>
      <c r="BG447" t="s">
        <v>74</v>
      </c>
      <c r="BH447" t="s">
        <v>74</v>
      </c>
      <c r="BI447">
        <v>13</v>
      </c>
      <c r="BJ447" t="s">
        <v>1394</v>
      </c>
      <c r="BK447" t="s">
        <v>569</v>
      </c>
      <c r="BL447" t="s">
        <v>1394</v>
      </c>
      <c r="BM447" t="s">
        <v>6337</v>
      </c>
      <c r="BN447" t="s">
        <v>74</v>
      </c>
      <c r="BO447" t="s">
        <v>2660</v>
      </c>
      <c r="BP447" t="s">
        <v>74</v>
      </c>
      <c r="BQ447" t="s">
        <v>74</v>
      </c>
      <c r="BR447" t="s">
        <v>98</v>
      </c>
      <c r="BS447" t="s">
        <v>6338</v>
      </c>
      <c r="BT447" t="str">
        <f>HYPERLINK("https%3A%2F%2Fwww.webofscience.com%2Fwos%2Fwoscc%2Ffull-record%2FWOS:000179705000001","View Full Record in Web of Science")</f>
        <v>View Full Record in Web of Science</v>
      </c>
    </row>
    <row r="448" spans="1:72" x14ac:dyDescent="0.15">
      <c r="A448" t="s">
        <v>552</v>
      </c>
      <c r="B448" t="s">
        <v>6339</v>
      </c>
      <c r="C448" t="s">
        <v>74</v>
      </c>
      <c r="D448" t="s">
        <v>74</v>
      </c>
      <c r="E448" t="s">
        <v>74</v>
      </c>
      <c r="F448" t="s">
        <v>6339</v>
      </c>
      <c r="G448" t="s">
        <v>74</v>
      </c>
      <c r="H448" t="s">
        <v>74</v>
      </c>
      <c r="I448" t="s">
        <v>6340</v>
      </c>
      <c r="J448" t="s">
        <v>6324</v>
      </c>
      <c r="K448" t="s">
        <v>74</v>
      </c>
      <c r="L448" t="s">
        <v>74</v>
      </c>
      <c r="M448" t="s">
        <v>78</v>
      </c>
      <c r="N448" t="s">
        <v>775</v>
      </c>
      <c r="O448" t="s">
        <v>74</v>
      </c>
      <c r="P448" t="s">
        <v>74</v>
      </c>
      <c r="Q448" t="s">
        <v>74</v>
      </c>
      <c r="R448" t="s">
        <v>74</v>
      </c>
      <c r="S448" t="s">
        <v>74</v>
      </c>
      <c r="T448" t="s">
        <v>74</v>
      </c>
      <c r="U448" t="s">
        <v>6341</v>
      </c>
      <c r="V448" t="s">
        <v>6342</v>
      </c>
      <c r="W448" t="s">
        <v>6343</v>
      </c>
      <c r="X448" t="s">
        <v>6344</v>
      </c>
      <c r="Y448" t="s">
        <v>6345</v>
      </c>
      <c r="Z448" t="s">
        <v>74</v>
      </c>
      <c r="AA448" t="s">
        <v>74</v>
      </c>
      <c r="AB448" t="s">
        <v>6346</v>
      </c>
      <c r="AC448" t="s">
        <v>74</v>
      </c>
      <c r="AD448" t="s">
        <v>74</v>
      </c>
      <c r="AE448" t="s">
        <v>74</v>
      </c>
      <c r="AF448" t="s">
        <v>74</v>
      </c>
      <c r="AG448">
        <v>50</v>
      </c>
      <c r="AH448">
        <v>206</v>
      </c>
      <c r="AI448">
        <v>229</v>
      </c>
      <c r="AJ448">
        <v>3</v>
      </c>
      <c r="AK448">
        <v>41</v>
      </c>
      <c r="AL448" t="s">
        <v>2652</v>
      </c>
      <c r="AM448" t="s">
        <v>2653</v>
      </c>
      <c r="AN448" t="s">
        <v>2654</v>
      </c>
      <c r="AO448" t="s">
        <v>6332</v>
      </c>
      <c r="AP448" t="s">
        <v>74</v>
      </c>
      <c r="AQ448" t="s">
        <v>74</v>
      </c>
      <c r="AR448" t="s">
        <v>6334</v>
      </c>
      <c r="AS448" t="s">
        <v>6335</v>
      </c>
      <c r="AT448" t="s">
        <v>5744</v>
      </c>
      <c r="AU448">
        <v>2002</v>
      </c>
      <c r="AV448">
        <v>32</v>
      </c>
      <c r="AW448">
        <v>12</v>
      </c>
      <c r="AX448" t="s">
        <v>74</v>
      </c>
      <c r="AY448" t="s">
        <v>74</v>
      </c>
      <c r="AZ448" t="s">
        <v>74</v>
      </c>
      <c r="BA448" t="s">
        <v>74</v>
      </c>
      <c r="BB448">
        <v>3328</v>
      </c>
      <c r="BC448">
        <v>3345</v>
      </c>
      <c r="BD448" t="s">
        <v>74</v>
      </c>
      <c r="BE448" t="s">
        <v>6347</v>
      </c>
      <c r="BF448" t="str">
        <f>HYPERLINK("http://dx.doi.org/10.1175/1520-0485(2002)032&lt;3328:TOEHT&gt;2.0.CO;2","http://dx.doi.org/10.1175/1520-0485(2002)032&lt;3328:TOEHT&gt;2.0.CO;2")</f>
        <v>http://dx.doi.org/10.1175/1520-0485(2002)032&lt;3328:TOEHT&gt;2.0.CO;2</v>
      </c>
      <c r="BG448" t="s">
        <v>74</v>
      </c>
      <c r="BH448" t="s">
        <v>74</v>
      </c>
      <c r="BI448">
        <v>18</v>
      </c>
      <c r="BJ448" t="s">
        <v>1394</v>
      </c>
      <c r="BK448" t="s">
        <v>569</v>
      </c>
      <c r="BL448" t="s">
        <v>1394</v>
      </c>
      <c r="BM448" t="s">
        <v>6337</v>
      </c>
      <c r="BN448" t="s">
        <v>74</v>
      </c>
      <c r="BO448" t="s">
        <v>5576</v>
      </c>
      <c r="BP448" t="s">
        <v>74</v>
      </c>
      <c r="BQ448" t="s">
        <v>74</v>
      </c>
      <c r="BR448" t="s">
        <v>98</v>
      </c>
      <c r="BS448" t="s">
        <v>6348</v>
      </c>
      <c r="BT448" t="str">
        <f>HYPERLINK("https%3A%2F%2Fwww.webofscience.com%2Fwos%2Fwoscc%2Ffull-record%2FWOS:000179705000002","View Full Record in Web of Science")</f>
        <v>View Full Record in Web of Science</v>
      </c>
    </row>
    <row r="449" spans="1:72" x14ac:dyDescent="0.15">
      <c r="A449" t="s">
        <v>552</v>
      </c>
      <c r="B449" t="s">
        <v>6349</v>
      </c>
      <c r="C449" t="s">
        <v>74</v>
      </c>
      <c r="D449" t="s">
        <v>74</v>
      </c>
      <c r="E449" t="s">
        <v>74</v>
      </c>
      <c r="F449" t="s">
        <v>6349</v>
      </c>
      <c r="G449" t="s">
        <v>74</v>
      </c>
      <c r="H449" t="s">
        <v>74</v>
      </c>
      <c r="I449" t="s">
        <v>6350</v>
      </c>
      <c r="J449" t="s">
        <v>6324</v>
      </c>
      <c r="K449" t="s">
        <v>74</v>
      </c>
      <c r="L449" t="s">
        <v>74</v>
      </c>
      <c r="M449" t="s">
        <v>78</v>
      </c>
      <c r="N449" t="s">
        <v>775</v>
      </c>
      <c r="O449" t="s">
        <v>74</v>
      </c>
      <c r="P449" t="s">
        <v>74</v>
      </c>
      <c r="Q449" t="s">
        <v>74</v>
      </c>
      <c r="R449" t="s">
        <v>74</v>
      </c>
      <c r="S449" t="s">
        <v>74</v>
      </c>
      <c r="T449" t="s">
        <v>74</v>
      </c>
      <c r="U449" t="s">
        <v>6351</v>
      </c>
      <c r="V449" t="s">
        <v>6352</v>
      </c>
      <c r="W449" t="s">
        <v>4892</v>
      </c>
      <c r="X449" t="s">
        <v>4893</v>
      </c>
      <c r="Y449" t="s">
        <v>6353</v>
      </c>
      <c r="Z449" t="s">
        <v>6354</v>
      </c>
      <c r="AA449" t="s">
        <v>6355</v>
      </c>
      <c r="AB449" t="s">
        <v>6356</v>
      </c>
      <c r="AC449" t="s">
        <v>74</v>
      </c>
      <c r="AD449" t="s">
        <v>74</v>
      </c>
      <c r="AE449" t="s">
        <v>74</v>
      </c>
      <c r="AF449" t="s">
        <v>74</v>
      </c>
      <c r="AG449">
        <v>36</v>
      </c>
      <c r="AH449">
        <v>34</v>
      </c>
      <c r="AI449">
        <v>36</v>
      </c>
      <c r="AJ449">
        <v>0</v>
      </c>
      <c r="AK449">
        <v>2</v>
      </c>
      <c r="AL449" t="s">
        <v>2652</v>
      </c>
      <c r="AM449" t="s">
        <v>2653</v>
      </c>
      <c r="AN449" t="s">
        <v>6357</v>
      </c>
      <c r="AO449" t="s">
        <v>6332</v>
      </c>
      <c r="AP449" t="s">
        <v>6333</v>
      </c>
      <c r="AQ449" t="s">
        <v>74</v>
      </c>
      <c r="AR449" t="s">
        <v>6334</v>
      </c>
      <c r="AS449" t="s">
        <v>6335</v>
      </c>
      <c r="AT449" t="s">
        <v>5744</v>
      </c>
      <c r="AU449">
        <v>2002</v>
      </c>
      <c r="AV449">
        <v>32</v>
      </c>
      <c r="AW449">
        <v>12</v>
      </c>
      <c r="AX449" t="s">
        <v>74</v>
      </c>
      <c r="AY449" t="s">
        <v>74</v>
      </c>
      <c r="AZ449" t="s">
        <v>74</v>
      </c>
      <c r="BA449" t="s">
        <v>74</v>
      </c>
      <c r="BB449">
        <v>3376</v>
      </c>
      <c r="BC449">
        <v>3395</v>
      </c>
      <c r="BD449" t="s">
        <v>74</v>
      </c>
      <c r="BE449" t="s">
        <v>6358</v>
      </c>
      <c r="BF449" t="str">
        <f>HYPERLINK("http://dx.doi.org/10.1175/1520-0485(2002)032&lt;3376:OTROWD&gt;2.0.CO;2","http://dx.doi.org/10.1175/1520-0485(2002)032&lt;3376:OTROWD&gt;2.0.CO;2")</f>
        <v>http://dx.doi.org/10.1175/1520-0485(2002)032&lt;3376:OTROWD&gt;2.0.CO;2</v>
      </c>
      <c r="BG449" t="s">
        <v>74</v>
      </c>
      <c r="BH449" t="s">
        <v>74</v>
      </c>
      <c r="BI449">
        <v>20</v>
      </c>
      <c r="BJ449" t="s">
        <v>1394</v>
      </c>
      <c r="BK449" t="s">
        <v>569</v>
      </c>
      <c r="BL449" t="s">
        <v>1394</v>
      </c>
      <c r="BM449" t="s">
        <v>6337</v>
      </c>
      <c r="BN449" t="s">
        <v>74</v>
      </c>
      <c r="BO449" t="s">
        <v>74</v>
      </c>
      <c r="BP449" t="s">
        <v>74</v>
      </c>
      <c r="BQ449" t="s">
        <v>74</v>
      </c>
      <c r="BR449" t="s">
        <v>98</v>
      </c>
      <c r="BS449" t="s">
        <v>6359</v>
      </c>
      <c r="BT449" t="str">
        <f>HYPERLINK("https%3A%2F%2Fwww.webofscience.com%2Fwos%2Fwoscc%2Ffull-record%2FWOS:000179705000005","View Full Record in Web of Science")</f>
        <v>View Full Record in Web of Science</v>
      </c>
    </row>
    <row r="450" spans="1:72" x14ac:dyDescent="0.15">
      <c r="A450" t="s">
        <v>552</v>
      </c>
      <c r="B450" t="s">
        <v>6360</v>
      </c>
      <c r="C450" t="s">
        <v>74</v>
      </c>
      <c r="D450" t="s">
        <v>74</v>
      </c>
      <c r="E450" t="s">
        <v>74</v>
      </c>
      <c r="F450" t="s">
        <v>6360</v>
      </c>
      <c r="G450" t="s">
        <v>74</v>
      </c>
      <c r="H450" t="s">
        <v>74</v>
      </c>
      <c r="I450" t="s">
        <v>6361</v>
      </c>
      <c r="J450" t="s">
        <v>6362</v>
      </c>
      <c r="K450" t="s">
        <v>74</v>
      </c>
      <c r="L450" t="s">
        <v>74</v>
      </c>
      <c r="M450" t="s">
        <v>78</v>
      </c>
      <c r="N450" t="s">
        <v>775</v>
      </c>
      <c r="O450" t="s">
        <v>74</v>
      </c>
      <c r="P450" t="s">
        <v>74</v>
      </c>
      <c r="Q450" t="s">
        <v>74</v>
      </c>
      <c r="R450" t="s">
        <v>74</v>
      </c>
      <c r="S450" t="s">
        <v>74</v>
      </c>
      <c r="T450" t="s">
        <v>74</v>
      </c>
      <c r="U450" t="s">
        <v>6363</v>
      </c>
      <c r="V450" t="s">
        <v>6364</v>
      </c>
      <c r="W450" t="s">
        <v>6365</v>
      </c>
      <c r="X450" t="s">
        <v>6366</v>
      </c>
      <c r="Y450" t="s">
        <v>6367</v>
      </c>
      <c r="Z450" t="s">
        <v>74</v>
      </c>
      <c r="AA450" t="s">
        <v>74</v>
      </c>
      <c r="AB450" t="s">
        <v>74</v>
      </c>
      <c r="AC450" t="s">
        <v>74</v>
      </c>
      <c r="AD450" t="s">
        <v>74</v>
      </c>
      <c r="AE450" t="s">
        <v>74</v>
      </c>
      <c r="AF450" t="s">
        <v>74</v>
      </c>
      <c r="AG450">
        <v>70</v>
      </c>
      <c r="AH450">
        <v>68</v>
      </c>
      <c r="AI450">
        <v>80</v>
      </c>
      <c r="AJ450">
        <v>0</v>
      </c>
      <c r="AK450">
        <v>18</v>
      </c>
      <c r="AL450" t="s">
        <v>942</v>
      </c>
      <c r="AM450" t="s">
        <v>807</v>
      </c>
      <c r="AN450" t="s">
        <v>943</v>
      </c>
      <c r="AO450" t="s">
        <v>6368</v>
      </c>
      <c r="AP450" t="s">
        <v>74</v>
      </c>
      <c r="AQ450" t="s">
        <v>74</v>
      </c>
      <c r="AR450" t="s">
        <v>6369</v>
      </c>
      <c r="AS450" t="s">
        <v>6370</v>
      </c>
      <c r="AT450" t="s">
        <v>5744</v>
      </c>
      <c r="AU450">
        <v>2002</v>
      </c>
      <c r="AV450">
        <v>24</v>
      </c>
      <c r="AW450">
        <v>12</v>
      </c>
      <c r="AX450" t="s">
        <v>74</v>
      </c>
      <c r="AY450" t="s">
        <v>74</v>
      </c>
      <c r="AZ450" t="s">
        <v>74</v>
      </c>
      <c r="BA450" t="s">
        <v>74</v>
      </c>
      <c r="BB450">
        <v>1277</v>
      </c>
      <c r="BC450">
        <v>1288</v>
      </c>
      <c r="BD450" t="s">
        <v>74</v>
      </c>
      <c r="BE450" t="s">
        <v>6371</v>
      </c>
      <c r="BF450" t="str">
        <f>HYPERLINK("http://dx.doi.org/10.1093/plankt/24.12.1277","http://dx.doi.org/10.1093/plankt/24.12.1277")</f>
        <v>http://dx.doi.org/10.1093/plankt/24.12.1277</v>
      </c>
      <c r="BG450" t="s">
        <v>74</v>
      </c>
      <c r="BH450" t="s">
        <v>74</v>
      </c>
      <c r="BI450">
        <v>12</v>
      </c>
      <c r="BJ450" t="s">
        <v>3127</v>
      </c>
      <c r="BK450" t="s">
        <v>569</v>
      </c>
      <c r="BL450" t="s">
        <v>3127</v>
      </c>
      <c r="BM450" t="s">
        <v>6372</v>
      </c>
      <c r="BN450" t="s">
        <v>74</v>
      </c>
      <c r="BO450" t="s">
        <v>572</v>
      </c>
      <c r="BP450" t="s">
        <v>74</v>
      </c>
      <c r="BQ450" t="s">
        <v>74</v>
      </c>
      <c r="BR450" t="s">
        <v>98</v>
      </c>
      <c r="BS450" t="s">
        <v>6373</v>
      </c>
      <c r="BT450" t="str">
        <f>HYPERLINK("https%3A%2F%2Fwww.webofscience.com%2Fwos%2Fwoscc%2Ffull-record%2FWOS:000179669200003","View Full Record in Web of Science")</f>
        <v>View Full Record in Web of Science</v>
      </c>
    </row>
    <row r="451" spans="1:72" x14ac:dyDescent="0.15">
      <c r="A451" t="s">
        <v>552</v>
      </c>
      <c r="B451" t="s">
        <v>6374</v>
      </c>
      <c r="C451" t="s">
        <v>74</v>
      </c>
      <c r="D451" t="s">
        <v>74</v>
      </c>
      <c r="E451" t="s">
        <v>74</v>
      </c>
      <c r="F451" t="s">
        <v>6374</v>
      </c>
      <c r="G451" t="s">
        <v>74</v>
      </c>
      <c r="H451" t="s">
        <v>74</v>
      </c>
      <c r="I451" t="s">
        <v>6375</v>
      </c>
      <c r="J451" t="s">
        <v>6376</v>
      </c>
      <c r="K451" t="s">
        <v>74</v>
      </c>
      <c r="L451" t="s">
        <v>74</v>
      </c>
      <c r="M451" t="s">
        <v>78</v>
      </c>
      <c r="N451" t="s">
        <v>775</v>
      </c>
      <c r="O451" t="s">
        <v>74</v>
      </c>
      <c r="P451" t="s">
        <v>74</v>
      </c>
      <c r="Q451" t="s">
        <v>74</v>
      </c>
      <c r="R451" t="s">
        <v>74</v>
      </c>
      <c r="S451" t="s">
        <v>74</v>
      </c>
      <c r="T451" t="s">
        <v>74</v>
      </c>
      <c r="U451" t="s">
        <v>6377</v>
      </c>
      <c r="V451" t="s">
        <v>6378</v>
      </c>
      <c r="W451" t="s">
        <v>6379</v>
      </c>
      <c r="X451" t="s">
        <v>6380</v>
      </c>
      <c r="Y451" t="s">
        <v>6381</v>
      </c>
      <c r="Z451" t="s">
        <v>74</v>
      </c>
      <c r="AA451" t="s">
        <v>6382</v>
      </c>
      <c r="AB451" t="s">
        <v>6383</v>
      </c>
      <c r="AC451" t="s">
        <v>74</v>
      </c>
      <c r="AD451" t="s">
        <v>74</v>
      </c>
      <c r="AE451" t="s">
        <v>74</v>
      </c>
      <c r="AF451" t="s">
        <v>74</v>
      </c>
      <c r="AG451">
        <v>10</v>
      </c>
      <c r="AH451">
        <v>8</v>
      </c>
      <c r="AI451">
        <v>9</v>
      </c>
      <c r="AJ451">
        <v>2</v>
      </c>
      <c r="AK451">
        <v>15</v>
      </c>
      <c r="AL451" t="s">
        <v>560</v>
      </c>
      <c r="AM451" t="s">
        <v>561</v>
      </c>
      <c r="AN451" t="s">
        <v>3082</v>
      </c>
      <c r="AO451" t="s">
        <v>6384</v>
      </c>
      <c r="AP451" t="s">
        <v>74</v>
      </c>
      <c r="AQ451" t="s">
        <v>74</v>
      </c>
      <c r="AR451" t="s">
        <v>6385</v>
      </c>
      <c r="AS451" t="s">
        <v>6386</v>
      </c>
      <c r="AT451" t="s">
        <v>5744</v>
      </c>
      <c r="AU451">
        <v>2002</v>
      </c>
      <c r="AV451">
        <v>82</v>
      </c>
      <c r="AW451">
        <v>6</v>
      </c>
      <c r="AX451" t="s">
        <v>74</v>
      </c>
      <c r="AY451" t="s">
        <v>74</v>
      </c>
      <c r="AZ451" t="s">
        <v>74</v>
      </c>
      <c r="BA451" t="s">
        <v>74</v>
      </c>
      <c r="BB451">
        <v>1035</v>
      </c>
      <c r="BC451">
        <v>1036</v>
      </c>
      <c r="BD451" t="s">
        <v>74</v>
      </c>
      <c r="BE451" t="s">
        <v>6387</v>
      </c>
      <c r="BF451" t="str">
        <f>HYPERLINK("http://dx.doi.org/10.1017/S0025315402006616","http://dx.doi.org/10.1017/S0025315402006616")</f>
        <v>http://dx.doi.org/10.1017/S0025315402006616</v>
      </c>
      <c r="BG451" t="s">
        <v>74</v>
      </c>
      <c r="BH451" t="s">
        <v>74</v>
      </c>
      <c r="BI451">
        <v>2</v>
      </c>
      <c r="BJ451" t="s">
        <v>989</v>
      </c>
      <c r="BK451" t="s">
        <v>569</v>
      </c>
      <c r="BL451" t="s">
        <v>989</v>
      </c>
      <c r="BM451" t="s">
        <v>6388</v>
      </c>
      <c r="BN451" t="s">
        <v>74</v>
      </c>
      <c r="BO451" t="s">
        <v>74</v>
      </c>
      <c r="BP451" t="s">
        <v>74</v>
      </c>
      <c r="BQ451" t="s">
        <v>74</v>
      </c>
      <c r="BR451" t="s">
        <v>98</v>
      </c>
      <c r="BS451" t="s">
        <v>6389</v>
      </c>
      <c r="BT451" t="str">
        <f>HYPERLINK("https%3A%2F%2Fwww.webofscience.com%2Fwos%2Fwoscc%2Ffull-record%2FWOS:000180834800021","View Full Record in Web of Science")</f>
        <v>View Full Record in Web of Science</v>
      </c>
    </row>
    <row r="452" spans="1:72" x14ac:dyDescent="0.15">
      <c r="A452" t="s">
        <v>552</v>
      </c>
      <c r="B452" t="s">
        <v>6390</v>
      </c>
      <c r="C452" t="s">
        <v>74</v>
      </c>
      <c r="D452" t="s">
        <v>74</v>
      </c>
      <c r="E452" t="s">
        <v>74</v>
      </c>
      <c r="F452" t="s">
        <v>6390</v>
      </c>
      <c r="G452" t="s">
        <v>74</v>
      </c>
      <c r="H452" t="s">
        <v>74</v>
      </c>
      <c r="I452" t="s">
        <v>6391</v>
      </c>
      <c r="J452" t="s">
        <v>6392</v>
      </c>
      <c r="K452" t="s">
        <v>74</v>
      </c>
      <c r="L452" t="s">
        <v>74</v>
      </c>
      <c r="M452" t="s">
        <v>78</v>
      </c>
      <c r="N452" t="s">
        <v>775</v>
      </c>
      <c r="O452" t="s">
        <v>74</v>
      </c>
      <c r="P452" t="s">
        <v>74</v>
      </c>
      <c r="Q452" t="s">
        <v>74</v>
      </c>
      <c r="R452" t="s">
        <v>74</v>
      </c>
      <c r="S452" t="s">
        <v>74</v>
      </c>
      <c r="T452" t="s">
        <v>74</v>
      </c>
      <c r="U452" t="s">
        <v>6393</v>
      </c>
      <c r="V452" t="s">
        <v>6394</v>
      </c>
      <c r="W452" t="s">
        <v>6395</v>
      </c>
      <c r="X452" t="s">
        <v>74</v>
      </c>
      <c r="Y452" t="s">
        <v>6396</v>
      </c>
      <c r="Z452" t="s">
        <v>74</v>
      </c>
      <c r="AA452" t="s">
        <v>1902</v>
      </c>
      <c r="AB452" t="s">
        <v>1903</v>
      </c>
      <c r="AC452" t="s">
        <v>74</v>
      </c>
      <c r="AD452" t="s">
        <v>74</v>
      </c>
      <c r="AE452" t="s">
        <v>74</v>
      </c>
      <c r="AF452" t="s">
        <v>74</v>
      </c>
      <c r="AG452">
        <v>78</v>
      </c>
      <c r="AH452">
        <v>51</v>
      </c>
      <c r="AI452">
        <v>56</v>
      </c>
      <c r="AJ452">
        <v>1</v>
      </c>
      <c r="AK452">
        <v>11</v>
      </c>
      <c r="AL452" t="s">
        <v>1259</v>
      </c>
      <c r="AM452" t="s">
        <v>561</v>
      </c>
      <c r="AN452" t="s">
        <v>1260</v>
      </c>
      <c r="AO452" t="s">
        <v>6397</v>
      </c>
      <c r="AP452" t="s">
        <v>74</v>
      </c>
      <c r="AQ452" t="s">
        <v>74</v>
      </c>
      <c r="AR452" t="s">
        <v>6398</v>
      </c>
      <c r="AS452" t="s">
        <v>6399</v>
      </c>
      <c r="AT452" t="s">
        <v>5744</v>
      </c>
      <c r="AU452">
        <v>2002</v>
      </c>
      <c r="AV452">
        <v>141</v>
      </c>
      <c r="AW452">
        <v>6</v>
      </c>
      <c r="AX452" t="s">
        <v>74</v>
      </c>
      <c r="AY452" t="s">
        <v>74</v>
      </c>
      <c r="AZ452" t="s">
        <v>74</v>
      </c>
      <c r="BA452" t="s">
        <v>74</v>
      </c>
      <c r="BB452">
        <v>1117</v>
      </c>
      <c r="BC452">
        <v>1129</v>
      </c>
      <c r="BD452" t="s">
        <v>74</v>
      </c>
      <c r="BE452" t="s">
        <v>6400</v>
      </c>
      <c r="BF452" t="str">
        <f>HYPERLINK("http://dx.doi.org/10.1007/s00227-002-0907-5","http://dx.doi.org/10.1007/s00227-002-0907-5")</f>
        <v>http://dx.doi.org/10.1007/s00227-002-0907-5</v>
      </c>
      <c r="BG452" t="s">
        <v>74</v>
      </c>
      <c r="BH452" t="s">
        <v>74</v>
      </c>
      <c r="BI452">
        <v>13</v>
      </c>
      <c r="BJ452" t="s">
        <v>989</v>
      </c>
      <c r="BK452" t="s">
        <v>569</v>
      </c>
      <c r="BL452" t="s">
        <v>989</v>
      </c>
      <c r="BM452" t="s">
        <v>6401</v>
      </c>
      <c r="BN452" t="s">
        <v>74</v>
      </c>
      <c r="BO452" t="s">
        <v>74</v>
      </c>
      <c r="BP452" t="s">
        <v>74</v>
      </c>
      <c r="BQ452" t="s">
        <v>74</v>
      </c>
      <c r="BR452" t="s">
        <v>98</v>
      </c>
      <c r="BS452" t="s">
        <v>6402</v>
      </c>
      <c r="BT452" t="str">
        <f>HYPERLINK("https%3A%2F%2Fwww.webofscience.com%2Fwos%2Fwoscc%2Ffull-record%2FWOS:000180044300014","View Full Record in Web of Science")</f>
        <v>View Full Record in Web of Science</v>
      </c>
    </row>
    <row r="453" spans="1:72" x14ac:dyDescent="0.15">
      <c r="A453" t="s">
        <v>552</v>
      </c>
      <c r="B453" t="s">
        <v>6403</v>
      </c>
      <c r="C453" t="s">
        <v>74</v>
      </c>
      <c r="D453" t="s">
        <v>74</v>
      </c>
      <c r="E453" t="s">
        <v>74</v>
      </c>
      <c r="F453" t="s">
        <v>6403</v>
      </c>
      <c r="G453" t="s">
        <v>74</v>
      </c>
      <c r="H453" t="s">
        <v>74</v>
      </c>
      <c r="I453" t="s">
        <v>6404</v>
      </c>
      <c r="J453" t="s">
        <v>6392</v>
      </c>
      <c r="K453" t="s">
        <v>74</v>
      </c>
      <c r="L453" t="s">
        <v>74</v>
      </c>
      <c r="M453" t="s">
        <v>78</v>
      </c>
      <c r="N453" t="s">
        <v>775</v>
      </c>
      <c r="O453" t="s">
        <v>74</v>
      </c>
      <c r="P453" t="s">
        <v>74</v>
      </c>
      <c r="Q453" t="s">
        <v>74</v>
      </c>
      <c r="R453" t="s">
        <v>74</v>
      </c>
      <c r="S453" t="s">
        <v>74</v>
      </c>
      <c r="T453" t="s">
        <v>74</v>
      </c>
      <c r="U453" t="s">
        <v>6405</v>
      </c>
      <c r="V453" t="s">
        <v>6406</v>
      </c>
      <c r="W453" t="s">
        <v>238</v>
      </c>
      <c r="X453" t="s">
        <v>239</v>
      </c>
      <c r="Y453" t="s">
        <v>6407</v>
      </c>
      <c r="Z453" t="s">
        <v>74</v>
      </c>
      <c r="AA453" t="s">
        <v>74</v>
      </c>
      <c r="AB453" t="s">
        <v>74</v>
      </c>
      <c r="AC453" t="s">
        <v>74</v>
      </c>
      <c r="AD453" t="s">
        <v>74</v>
      </c>
      <c r="AE453" t="s">
        <v>74</v>
      </c>
      <c r="AF453" t="s">
        <v>74</v>
      </c>
      <c r="AG453">
        <v>38</v>
      </c>
      <c r="AH453">
        <v>76</v>
      </c>
      <c r="AI453">
        <v>87</v>
      </c>
      <c r="AJ453">
        <v>3</v>
      </c>
      <c r="AK453">
        <v>44</v>
      </c>
      <c r="AL453" t="s">
        <v>1259</v>
      </c>
      <c r="AM453" t="s">
        <v>561</v>
      </c>
      <c r="AN453" t="s">
        <v>1260</v>
      </c>
      <c r="AO453" t="s">
        <v>6397</v>
      </c>
      <c r="AP453" t="s">
        <v>74</v>
      </c>
      <c r="AQ453" t="s">
        <v>74</v>
      </c>
      <c r="AR453" t="s">
        <v>6398</v>
      </c>
      <c r="AS453" t="s">
        <v>6399</v>
      </c>
      <c r="AT453" t="s">
        <v>5744</v>
      </c>
      <c r="AU453">
        <v>2002</v>
      </c>
      <c r="AV453">
        <v>141</v>
      </c>
      <c r="AW453">
        <v>6</v>
      </c>
      <c r="AX453" t="s">
        <v>74</v>
      </c>
      <c r="AY453" t="s">
        <v>74</v>
      </c>
      <c r="AZ453" t="s">
        <v>74</v>
      </c>
      <c r="BA453" t="s">
        <v>74</v>
      </c>
      <c r="BB453">
        <v>1165</v>
      </c>
      <c r="BC453">
        <v>1174</v>
      </c>
      <c r="BD453" t="s">
        <v>74</v>
      </c>
      <c r="BE453" t="s">
        <v>6408</v>
      </c>
      <c r="BF453" t="str">
        <f>HYPERLINK("http://dx.doi.org/10.1007/s00227-002-0899-1","http://dx.doi.org/10.1007/s00227-002-0899-1")</f>
        <v>http://dx.doi.org/10.1007/s00227-002-0899-1</v>
      </c>
      <c r="BG453" t="s">
        <v>74</v>
      </c>
      <c r="BH453" t="s">
        <v>74</v>
      </c>
      <c r="BI453">
        <v>10</v>
      </c>
      <c r="BJ453" t="s">
        <v>989</v>
      </c>
      <c r="BK453" t="s">
        <v>569</v>
      </c>
      <c r="BL453" t="s">
        <v>989</v>
      </c>
      <c r="BM453" t="s">
        <v>6401</v>
      </c>
      <c r="BN453" t="s">
        <v>74</v>
      </c>
      <c r="BO453" t="s">
        <v>74</v>
      </c>
      <c r="BP453" t="s">
        <v>74</v>
      </c>
      <c r="BQ453" t="s">
        <v>74</v>
      </c>
      <c r="BR453" t="s">
        <v>98</v>
      </c>
      <c r="BS453" t="s">
        <v>6409</v>
      </c>
      <c r="BT453" t="str">
        <f>HYPERLINK("https%3A%2F%2Fwww.webofscience.com%2Fwos%2Fwoscc%2Ffull-record%2FWOS:000180044300018","View Full Record in Web of Science")</f>
        <v>View Full Record in Web of Science</v>
      </c>
    </row>
    <row r="454" spans="1:72" x14ac:dyDescent="0.15">
      <c r="A454" t="s">
        <v>552</v>
      </c>
      <c r="B454" t="s">
        <v>6410</v>
      </c>
      <c r="C454" t="s">
        <v>74</v>
      </c>
      <c r="D454" t="s">
        <v>74</v>
      </c>
      <c r="E454" t="s">
        <v>74</v>
      </c>
      <c r="F454" t="s">
        <v>6411</v>
      </c>
      <c r="G454" t="s">
        <v>74</v>
      </c>
      <c r="H454" t="s">
        <v>74</v>
      </c>
      <c r="I454" t="s">
        <v>6412</v>
      </c>
      <c r="J454" t="s">
        <v>6413</v>
      </c>
      <c r="K454" t="s">
        <v>74</v>
      </c>
      <c r="L454" t="s">
        <v>74</v>
      </c>
      <c r="M454" t="s">
        <v>78</v>
      </c>
      <c r="N454" t="s">
        <v>775</v>
      </c>
      <c r="O454" t="s">
        <v>74</v>
      </c>
      <c r="P454" t="s">
        <v>74</v>
      </c>
      <c r="Q454" t="s">
        <v>74</v>
      </c>
      <c r="R454" t="s">
        <v>74</v>
      </c>
      <c r="S454" t="s">
        <v>74</v>
      </c>
      <c r="T454" t="s">
        <v>6414</v>
      </c>
      <c r="U454" t="s">
        <v>6415</v>
      </c>
      <c r="V454" t="s">
        <v>6416</v>
      </c>
      <c r="W454" t="s">
        <v>6417</v>
      </c>
      <c r="X454" t="s">
        <v>6418</v>
      </c>
      <c r="Y454" t="s">
        <v>6419</v>
      </c>
      <c r="Z454" t="s">
        <v>6420</v>
      </c>
      <c r="AA454" t="s">
        <v>6421</v>
      </c>
      <c r="AB454" t="s">
        <v>6422</v>
      </c>
      <c r="AC454" t="s">
        <v>6423</v>
      </c>
      <c r="AD454" t="s">
        <v>6424</v>
      </c>
      <c r="AE454" t="s">
        <v>6425</v>
      </c>
      <c r="AF454" t="s">
        <v>74</v>
      </c>
      <c r="AG454">
        <v>21</v>
      </c>
      <c r="AH454">
        <v>15</v>
      </c>
      <c r="AI454">
        <v>20</v>
      </c>
      <c r="AJ454">
        <v>0</v>
      </c>
      <c r="AK454">
        <v>7</v>
      </c>
      <c r="AL454" t="s">
        <v>1147</v>
      </c>
      <c r="AM454" t="s">
        <v>1148</v>
      </c>
      <c r="AN454" t="s">
        <v>1149</v>
      </c>
      <c r="AO454" t="s">
        <v>6426</v>
      </c>
      <c r="AP454" t="s">
        <v>74</v>
      </c>
      <c r="AQ454" t="s">
        <v>74</v>
      </c>
      <c r="AR454" t="s">
        <v>6427</v>
      </c>
      <c r="AS454" t="s">
        <v>6428</v>
      </c>
      <c r="AT454" t="s">
        <v>5744</v>
      </c>
      <c r="AU454">
        <v>2002</v>
      </c>
      <c r="AV454">
        <v>23</v>
      </c>
      <c r="AW454" t="s">
        <v>74</v>
      </c>
      <c r="AX454" t="s">
        <v>74</v>
      </c>
      <c r="AY454">
        <v>1</v>
      </c>
      <c r="AZ454" t="s">
        <v>74</v>
      </c>
      <c r="BA454" t="s">
        <v>74</v>
      </c>
      <c r="BB454">
        <v>201</v>
      </c>
      <c r="BC454">
        <v>209</v>
      </c>
      <c r="BD454" t="s">
        <v>74</v>
      </c>
      <c r="BE454" t="s">
        <v>6429</v>
      </c>
      <c r="BF454" t="str">
        <f>HYPERLINK("http://dx.doi.org/10.1111/j.1439-0485.2002.tb00019.x","http://dx.doi.org/10.1111/j.1439-0485.2002.tb00019.x")</f>
        <v>http://dx.doi.org/10.1111/j.1439-0485.2002.tb00019.x</v>
      </c>
      <c r="BG454" t="s">
        <v>74</v>
      </c>
      <c r="BH454" t="s">
        <v>74</v>
      </c>
      <c r="BI454">
        <v>9</v>
      </c>
      <c r="BJ454" t="s">
        <v>989</v>
      </c>
      <c r="BK454" t="s">
        <v>569</v>
      </c>
      <c r="BL454" t="s">
        <v>989</v>
      </c>
      <c r="BM454" t="s">
        <v>6430</v>
      </c>
      <c r="BN454" t="s">
        <v>74</v>
      </c>
      <c r="BO454" t="s">
        <v>74</v>
      </c>
      <c r="BP454" t="s">
        <v>74</v>
      </c>
      <c r="BQ454" t="s">
        <v>74</v>
      </c>
      <c r="BR454" t="s">
        <v>98</v>
      </c>
      <c r="BS454" t="s">
        <v>6431</v>
      </c>
      <c r="BT454" t="str">
        <f>HYPERLINK("https%3A%2F%2Fwww.webofscience.com%2Fwos%2Fwoscc%2Ffull-record%2FWOS:000208309200019","View Full Record in Web of Science")</f>
        <v>View Full Record in Web of Science</v>
      </c>
    </row>
    <row r="455" spans="1:72" x14ac:dyDescent="0.15">
      <c r="A455" t="s">
        <v>552</v>
      </c>
      <c r="B455" t="s">
        <v>6432</v>
      </c>
      <c r="C455" t="s">
        <v>74</v>
      </c>
      <c r="D455" t="s">
        <v>74</v>
      </c>
      <c r="E455" t="s">
        <v>74</v>
      </c>
      <c r="F455" t="s">
        <v>6433</v>
      </c>
      <c r="G455" t="s">
        <v>74</v>
      </c>
      <c r="H455" t="s">
        <v>74</v>
      </c>
      <c r="I455" t="s">
        <v>6434</v>
      </c>
      <c r="J455" t="s">
        <v>6413</v>
      </c>
      <c r="K455" t="s">
        <v>74</v>
      </c>
      <c r="L455" t="s">
        <v>74</v>
      </c>
      <c r="M455" t="s">
        <v>78</v>
      </c>
      <c r="N455" t="s">
        <v>775</v>
      </c>
      <c r="O455" t="s">
        <v>74</v>
      </c>
      <c r="P455" t="s">
        <v>74</v>
      </c>
      <c r="Q455" t="s">
        <v>74</v>
      </c>
      <c r="R455" t="s">
        <v>74</v>
      </c>
      <c r="S455" t="s">
        <v>74</v>
      </c>
      <c r="T455" t="s">
        <v>6435</v>
      </c>
      <c r="U455" t="s">
        <v>6436</v>
      </c>
      <c r="V455" t="s">
        <v>6437</v>
      </c>
      <c r="W455" t="s">
        <v>6438</v>
      </c>
      <c r="X455" t="s">
        <v>2460</v>
      </c>
      <c r="Y455" t="s">
        <v>6439</v>
      </c>
      <c r="Z455" t="s">
        <v>6440</v>
      </c>
      <c r="AA455" t="s">
        <v>6441</v>
      </c>
      <c r="AB455" t="s">
        <v>74</v>
      </c>
      <c r="AC455" t="s">
        <v>6423</v>
      </c>
      <c r="AD455" t="s">
        <v>6424</v>
      </c>
      <c r="AE455" t="s">
        <v>6442</v>
      </c>
      <c r="AF455" t="s">
        <v>74</v>
      </c>
      <c r="AG455">
        <v>20</v>
      </c>
      <c r="AH455">
        <v>4</v>
      </c>
      <c r="AI455">
        <v>6</v>
      </c>
      <c r="AJ455">
        <v>0</v>
      </c>
      <c r="AK455">
        <v>9</v>
      </c>
      <c r="AL455" t="s">
        <v>1147</v>
      </c>
      <c r="AM455" t="s">
        <v>1148</v>
      </c>
      <c r="AN455" t="s">
        <v>1149</v>
      </c>
      <c r="AO455" t="s">
        <v>6426</v>
      </c>
      <c r="AP455" t="s">
        <v>74</v>
      </c>
      <c r="AQ455" t="s">
        <v>74</v>
      </c>
      <c r="AR455" t="s">
        <v>6427</v>
      </c>
      <c r="AS455" t="s">
        <v>6428</v>
      </c>
      <c r="AT455" t="s">
        <v>5744</v>
      </c>
      <c r="AU455">
        <v>2002</v>
      </c>
      <c r="AV455">
        <v>23</v>
      </c>
      <c r="AW455" t="s">
        <v>74</v>
      </c>
      <c r="AX455" t="s">
        <v>74</v>
      </c>
      <c r="AY455">
        <v>1</v>
      </c>
      <c r="AZ455" t="s">
        <v>74</v>
      </c>
      <c r="BA455" t="s">
        <v>74</v>
      </c>
      <c r="BB455">
        <v>210</v>
      </c>
      <c r="BC455">
        <v>219</v>
      </c>
      <c r="BD455" t="s">
        <v>74</v>
      </c>
      <c r="BE455" t="s">
        <v>6443</v>
      </c>
      <c r="BF455" t="str">
        <f>HYPERLINK("http://dx.doi.org/10.1111/j.1439-0485.2002.tb00020.x","http://dx.doi.org/10.1111/j.1439-0485.2002.tb00020.x")</f>
        <v>http://dx.doi.org/10.1111/j.1439-0485.2002.tb00020.x</v>
      </c>
      <c r="BG455" t="s">
        <v>74</v>
      </c>
      <c r="BH455" t="s">
        <v>74</v>
      </c>
      <c r="BI455">
        <v>10</v>
      </c>
      <c r="BJ455" t="s">
        <v>989</v>
      </c>
      <c r="BK455" t="s">
        <v>569</v>
      </c>
      <c r="BL455" t="s">
        <v>989</v>
      </c>
      <c r="BM455" t="s">
        <v>6430</v>
      </c>
      <c r="BN455" t="s">
        <v>74</v>
      </c>
      <c r="BO455" t="s">
        <v>74</v>
      </c>
      <c r="BP455" t="s">
        <v>74</v>
      </c>
      <c r="BQ455" t="s">
        <v>74</v>
      </c>
      <c r="BR455" t="s">
        <v>98</v>
      </c>
      <c r="BS455" t="s">
        <v>6444</v>
      </c>
      <c r="BT455" t="str">
        <f>HYPERLINK("https%3A%2F%2Fwww.webofscience.com%2Fwos%2Fwoscc%2Ffull-record%2FWOS:000208309200020","View Full Record in Web of Science")</f>
        <v>View Full Record in Web of Science</v>
      </c>
    </row>
    <row r="456" spans="1:72" x14ac:dyDescent="0.15">
      <c r="A456" t="s">
        <v>552</v>
      </c>
      <c r="B456" t="s">
        <v>6445</v>
      </c>
      <c r="C456" t="s">
        <v>74</v>
      </c>
      <c r="D456" t="s">
        <v>74</v>
      </c>
      <c r="E456" t="s">
        <v>74</v>
      </c>
      <c r="F456" t="s">
        <v>6446</v>
      </c>
      <c r="G456" t="s">
        <v>74</v>
      </c>
      <c r="H456" t="s">
        <v>74</v>
      </c>
      <c r="I456" t="s">
        <v>6447</v>
      </c>
      <c r="J456" t="s">
        <v>6413</v>
      </c>
      <c r="K456" t="s">
        <v>74</v>
      </c>
      <c r="L456" t="s">
        <v>74</v>
      </c>
      <c r="M456" t="s">
        <v>78</v>
      </c>
      <c r="N456" t="s">
        <v>775</v>
      </c>
      <c r="O456" t="s">
        <v>74</v>
      </c>
      <c r="P456" t="s">
        <v>74</v>
      </c>
      <c r="Q456" t="s">
        <v>74</v>
      </c>
      <c r="R456" t="s">
        <v>74</v>
      </c>
      <c r="S456" t="s">
        <v>74</v>
      </c>
      <c r="T456" t="s">
        <v>6448</v>
      </c>
      <c r="U456" t="s">
        <v>6449</v>
      </c>
      <c r="V456" t="s">
        <v>6450</v>
      </c>
      <c r="W456" t="s">
        <v>6451</v>
      </c>
      <c r="X456" t="s">
        <v>6452</v>
      </c>
      <c r="Y456" t="s">
        <v>6453</v>
      </c>
      <c r="Z456" t="s">
        <v>6454</v>
      </c>
      <c r="AA456" t="s">
        <v>74</v>
      </c>
      <c r="AB456" t="s">
        <v>6455</v>
      </c>
      <c r="AC456" t="s">
        <v>74</v>
      </c>
      <c r="AD456" t="s">
        <v>74</v>
      </c>
      <c r="AE456" t="s">
        <v>74</v>
      </c>
      <c r="AF456" t="s">
        <v>74</v>
      </c>
      <c r="AG456">
        <v>29</v>
      </c>
      <c r="AH456">
        <v>7</v>
      </c>
      <c r="AI456">
        <v>7</v>
      </c>
      <c r="AJ456">
        <v>0</v>
      </c>
      <c r="AK456">
        <v>18</v>
      </c>
      <c r="AL456" t="s">
        <v>1147</v>
      </c>
      <c r="AM456" t="s">
        <v>1148</v>
      </c>
      <c r="AN456" t="s">
        <v>1149</v>
      </c>
      <c r="AO456" t="s">
        <v>6426</v>
      </c>
      <c r="AP456" t="s">
        <v>74</v>
      </c>
      <c r="AQ456" t="s">
        <v>74</v>
      </c>
      <c r="AR456" t="s">
        <v>6427</v>
      </c>
      <c r="AS456" t="s">
        <v>6428</v>
      </c>
      <c r="AT456" t="s">
        <v>5744</v>
      </c>
      <c r="AU456">
        <v>2002</v>
      </c>
      <c r="AV456">
        <v>23</v>
      </c>
      <c r="AW456" t="s">
        <v>74</v>
      </c>
      <c r="AX456" t="s">
        <v>74</v>
      </c>
      <c r="AY456">
        <v>1</v>
      </c>
      <c r="AZ456" t="s">
        <v>74</v>
      </c>
      <c r="BA456" t="s">
        <v>74</v>
      </c>
      <c r="BB456">
        <v>291</v>
      </c>
      <c r="BC456">
        <v>296</v>
      </c>
      <c r="BD456" t="s">
        <v>74</v>
      </c>
      <c r="BE456" t="s">
        <v>6456</v>
      </c>
      <c r="BF456" t="str">
        <f>HYPERLINK("http://dx.doi.org/10.1111/j.1439-0485.2002.tb00027.x","http://dx.doi.org/10.1111/j.1439-0485.2002.tb00027.x")</f>
        <v>http://dx.doi.org/10.1111/j.1439-0485.2002.tb00027.x</v>
      </c>
      <c r="BG456" t="s">
        <v>74</v>
      </c>
      <c r="BH456" t="s">
        <v>74</v>
      </c>
      <c r="BI456">
        <v>6</v>
      </c>
      <c r="BJ456" t="s">
        <v>989</v>
      </c>
      <c r="BK456" t="s">
        <v>569</v>
      </c>
      <c r="BL456" t="s">
        <v>989</v>
      </c>
      <c r="BM456" t="s">
        <v>6430</v>
      </c>
      <c r="BN456" t="s">
        <v>74</v>
      </c>
      <c r="BO456" t="s">
        <v>74</v>
      </c>
      <c r="BP456" t="s">
        <v>74</v>
      </c>
      <c r="BQ456" t="s">
        <v>74</v>
      </c>
      <c r="BR456" t="s">
        <v>98</v>
      </c>
      <c r="BS456" t="s">
        <v>6457</v>
      </c>
      <c r="BT456" t="str">
        <f>HYPERLINK("https%3A%2F%2Fwww.webofscience.com%2Fwos%2Fwoscc%2Ffull-record%2FWOS:000208309200027","View Full Record in Web of Science")</f>
        <v>View Full Record in Web of Science</v>
      </c>
    </row>
    <row r="457" spans="1:72" x14ac:dyDescent="0.15">
      <c r="A457" t="s">
        <v>552</v>
      </c>
      <c r="B457" t="s">
        <v>6458</v>
      </c>
      <c r="C457" t="s">
        <v>74</v>
      </c>
      <c r="D457" t="s">
        <v>74</v>
      </c>
      <c r="E457" t="s">
        <v>74</v>
      </c>
      <c r="F457" t="s">
        <v>6459</v>
      </c>
      <c r="G457" t="s">
        <v>74</v>
      </c>
      <c r="H457" t="s">
        <v>74</v>
      </c>
      <c r="I457" t="s">
        <v>6460</v>
      </c>
      <c r="J457" t="s">
        <v>6413</v>
      </c>
      <c r="K457" t="s">
        <v>74</v>
      </c>
      <c r="L457" t="s">
        <v>74</v>
      </c>
      <c r="M457" t="s">
        <v>78</v>
      </c>
      <c r="N457" t="s">
        <v>775</v>
      </c>
      <c r="O457" t="s">
        <v>74</v>
      </c>
      <c r="P457" t="s">
        <v>74</v>
      </c>
      <c r="Q457" t="s">
        <v>74</v>
      </c>
      <c r="R457" t="s">
        <v>74</v>
      </c>
      <c r="S457" t="s">
        <v>74</v>
      </c>
      <c r="T457" t="s">
        <v>6461</v>
      </c>
      <c r="U457" t="s">
        <v>74</v>
      </c>
      <c r="V457" t="s">
        <v>6462</v>
      </c>
      <c r="W457" t="s">
        <v>6463</v>
      </c>
      <c r="X457" t="s">
        <v>74</v>
      </c>
      <c r="Y457" t="s">
        <v>6464</v>
      </c>
      <c r="Z457" t="s">
        <v>6465</v>
      </c>
      <c r="AA457" t="s">
        <v>6466</v>
      </c>
      <c r="AB457" t="s">
        <v>6467</v>
      </c>
      <c r="AC457" t="s">
        <v>6423</v>
      </c>
      <c r="AD457" t="s">
        <v>6424</v>
      </c>
      <c r="AE457" t="s">
        <v>6468</v>
      </c>
      <c r="AF457" t="s">
        <v>74</v>
      </c>
      <c r="AG457">
        <v>26</v>
      </c>
      <c r="AH457">
        <v>0</v>
      </c>
      <c r="AI457">
        <v>0</v>
      </c>
      <c r="AJ457">
        <v>0</v>
      </c>
      <c r="AK457">
        <v>2</v>
      </c>
      <c r="AL457" t="s">
        <v>833</v>
      </c>
      <c r="AM457" t="s">
        <v>834</v>
      </c>
      <c r="AN457" t="s">
        <v>835</v>
      </c>
      <c r="AO457" t="s">
        <v>6426</v>
      </c>
      <c r="AP457" t="s">
        <v>74</v>
      </c>
      <c r="AQ457" t="s">
        <v>74</v>
      </c>
      <c r="AR457" t="s">
        <v>6427</v>
      </c>
      <c r="AS457" t="s">
        <v>6428</v>
      </c>
      <c r="AT457" t="s">
        <v>5744</v>
      </c>
      <c r="AU457">
        <v>2002</v>
      </c>
      <c r="AV457">
        <v>23</v>
      </c>
      <c r="AW457" t="s">
        <v>74</v>
      </c>
      <c r="AX457" t="s">
        <v>74</v>
      </c>
      <c r="AY457">
        <v>1</v>
      </c>
      <c r="AZ457" t="s">
        <v>74</v>
      </c>
      <c r="BA457" t="s">
        <v>74</v>
      </c>
      <c r="BB457">
        <v>395</v>
      </c>
      <c r="BC457">
        <v>410</v>
      </c>
      <c r="BD457" t="s">
        <v>74</v>
      </c>
      <c r="BE457" t="s">
        <v>6469</v>
      </c>
      <c r="BF457" t="str">
        <f>HYPERLINK("http://dx.doi.org/10.1111/j.1439-0485.2002.tb00037.x","http://dx.doi.org/10.1111/j.1439-0485.2002.tb00037.x")</f>
        <v>http://dx.doi.org/10.1111/j.1439-0485.2002.tb00037.x</v>
      </c>
      <c r="BG457" t="s">
        <v>74</v>
      </c>
      <c r="BH457" t="s">
        <v>74</v>
      </c>
      <c r="BI457">
        <v>16</v>
      </c>
      <c r="BJ457" t="s">
        <v>989</v>
      </c>
      <c r="BK457" t="s">
        <v>569</v>
      </c>
      <c r="BL457" t="s">
        <v>989</v>
      </c>
      <c r="BM457" t="s">
        <v>6430</v>
      </c>
      <c r="BN457" t="s">
        <v>74</v>
      </c>
      <c r="BO457" t="s">
        <v>74</v>
      </c>
      <c r="BP457" t="s">
        <v>74</v>
      </c>
      <c r="BQ457" t="s">
        <v>74</v>
      </c>
      <c r="BR457" t="s">
        <v>98</v>
      </c>
      <c r="BS457" t="s">
        <v>6470</v>
      </c>
      <c r="BT457" t="str">
        <f>HYPERLINK("https%3A%2F%2Fwww.webofscience.com%2Fwos%2Fwoscc%2Ffull-record%2FWOS:000208309200037","View Full Record in Web of Science")</f>
        <v>View Full Record in Web of Science</v>
      </c>
    </row>
    <row r="458" spans="1:72" x14ac:dyDescent="0.15">
      <c r="A458" t="s">
        <v>552</v>
      </c>
      <c r="B458" t="s">
        <v>6471</v>
      </c>
      <c r="C458" t="s">
        <v>74</v>
      </c>
      <c r="D458" t="s">
        <v>74</v>
      </c>
      <c r="E458" t="s">
        <v>74</v>
      </c>
      <c r="F458" t="s">
        <v>6471</v>
      </c>
      <c r="G458" t="s">
        <v>74</v>
      </c>
      <c r="H458" t="s">
        <v>74</v>
      </c>
      <c r="I458" t="s">
        <v>6472</v>
      </c>
      <c r="J458" t="s">
        <v>3704</v>
      </c>
      <c r="K458" t="s">
        <v>74</v>
      </c>
      <c r="L458" t="s">
        <v>74</v>
      </c>
      <c r="M458" t="s">
        <v>78</v>
      </c>
      <c r="N458" t="s">
        <v>556</v>
      </c>
      <c r="O458" t="s">
        <v>74</v>
      </c>
      <c r="P458" t="s">
        <v>74</v>
      </c>
      <c r="Q458" t="s">
        <v>74</v>
      </c>
      <c r="R458" t="s">
        <v>74</v>
      </c>
      <c r="S458" t="s">
        <v>74</v>
      </c>
      <c r="T458" t="s">
        <v>74</v>
      </c>
      <c r="U458" t="s">
        <v>74</v>
      </c>
      <c r="V458" t="s">
        <v>6473</v>
      </c>
      <c r="W458" t="s">
        <v>5981</v>
      </c>
      <c r="X458" t="s">
        <v>6474</v>
      </c>
      <c r="Y458" t="s">
        <v>6475</v>
      </c>
      <c r="Z458" t="s">
        <v>74</v>
      </c>
      <c r="AA458" t="s">
        <v>74</v>
      </c>
      <c r="AB458" t="s">
        <v>74</v>
      </c>
      <c r="AC458" t="s">
        <v>74</v>
      </c>
      <c r="AD458" t="s">
        <v>74</v>
      </c>
      <c r="AE458" t="s">
        <v>74</v>
      </c>
      <c r="AF458" t="s">
        <v>74</v>
      </c>
      <c r="AG458">
        <v>14</v>
      </c>
      <c r="AH458">
        <v>1</v>
      </c>
      <c r="AI458">
        <v>1</v>
      </c>
      <c r="AJ458">
        <v>0</v>
      </c>
      <c r="AK458">
        <v>3</v>
      </c>
      <c r="AL458" t="s">
        <v>3710</v>
      </c>
      <c r="AM458" t="s">
        <v>3711</v>
      </c>
      <c r="AN458" t="s">
        <v>3712</v>
      </c>
      <c r="AO458" t="s">
        <v>3713</v>
      </c>
      <c r="AP458" t="s">
        <v>74</v>
      </c>
      <c r="AQ458" t="s">
        <v>74</v>
      </c>
      <c r="AR458" t="s">
        <v>3714</v>
      </c>
      <c r="AS458" t="s">
        <v>3715</v>
      </c>
      <c r="AT458" t="s">
        <v>5744</v>
      </c>
      <c r="AU458">
        <v>2002</v>
      </c>
      <c r="AV458">
        <v>37</v>
      </c>
      <c r="AW458">
        <v>12</v>
      </c>
      <c r="AX458" t="s">
        <v>74</v>
      </c>
      <c r="AY458" t="s">
        <v>903</v>
      </c>
      <c r="AZ458" t="s">
        <v>74</v>
      </c>
      <c r="BA458" t="s">
        <v>74</v>
      </c>
      <c r="BB458" t="s">
        <v>6476</v>
      </c>
      <c r="BC458" t="s">
        <v>6477</v>
      </c>
      <c r="BD458" t="s">
        <v>74</v>
      </c>
      <c r="BE458" t="s">
        <v>6478</v>
      </c>
      <c r="BF458" t="str">
        <f>HYPERLINK("http://dx.doi.org/10.1111/j.1945-5100.2002.tb00902.x","http://dx.doi.org/10.1111/j.1945-5100.2002.tb00902.x")</f>
        <v>http://dx.doi.org/10.1111/j.1945-5100.2002.tb00902.x</v>
      </c>
      <c r="BG458" t="s">
        <v>74</v>
      </c>
      <c r="BH458" t="s">
        <v>74</v>
      </c>
      <c r="BI458">
        <v>11</v>
      </c>
      <c r="BJ458" t="s">
        <v>2068</v>
      </c>
      <c r="BK458" t="s">
        <v>569</v>
      </c>
      <c r="BL458" t="s">
        <v>2068</v>
      </c>
      <c r="BM458" t="s">
        <v>6479</v>
      </c>
      <c r="BN458" t="s">
        <v>74</v>
      </c>
      <c r="BO458" t="s">
        <v>572</v>
      </c>
      <c r="BP458" t="s">
        <v>74</v>
      </c>
      <c r="BQ458" t="s">
        <v>74</v>
      </c>
      <c r="BR458" t="s">
        <v>98</v>
      </c>
      <c r="BS458" t="s">
        <v>6480</v>
      </c>
      <c r="BT458" t="str">
        <f>HYPERLINK("https%3A%2F%2Fwww.webofscience.com%2Fwos%2Fwoscc%2Ffull-record%2FWOS:000180337300007","View Full Record in Web of Science")</f>
        <v>View Full Record in Web of Science</v>
      </c>
    </row>
    <row r="459" spans="1:72" x14ac:dyDescent="0.15">
      <c r="A459" t="s">
        <v>552</v>
      </c>
      <c r="B459" t="s">
        <v>6481</v>
      </c>
      <c r="C459" t="s">
        <v>74</v>
      </c>
      <c r="D459" t="s">
        <v>74</v>
      </c>
      <c r="E459" t="s">
        <v>74</v>
      </c>
      <c r="F459" t="s">
        <v>6481</v>
      </c>
      <c r="G459" t="s">
        <v>74</v>
      </c>
      <c r="H459" t="s">
        <v>74</v>
      </c>
      <c r="I459" t="s">
        <v>6482</v>
      </c>
      <c r="J459" t="s">
        <v>3704</v>
      </c>
      <c r="K459" t="s">
        <v>74</v>
      </c>
      <c r="L459" t="s">
        <v>74</v>
      </c>
      <c r="M459" t="s">
        <v>78</v>
      </c>
      <c r="N459" t="s">
        <v>775</v>
      </c>
      <c r="O459" t="s">
        <v>74</v>
      </c>
      <c r="P459" t="s">
        <v>74</v>
      </c>
      <c r="Q459" t="s">
        <v>74</v>
      </c>
      <c r="R459" t="s">
        <v>74</v>
      </c>
      <c r="S459" t="s">
        <v>74</v>
      </c>
      <c r="T459" t="s">
        <v>74</v>
      </c>
      <c r="U459" t="s">
        <v>74</v>
      </c>
      <c r="V459" t="s">
        <v>6483</v>
      </c>
      <c r="W459" t="s">
        <v>6484</v>
      </c>
      <c r="X459" t="s">
        <v>74</v>
      </c>
      <c r="Y459" t="s">
        <v>6485</v>
      </c>
      <c r="Z459" t="s">
        <v>74</v>
      </c>
      <c r="AA459" t="s">
        <v>74</v>
      </c>
      <c r="AB459" t="s">
        <v>74</v>
      </c>
      <c r="AC459" t="s">
        <v>74</v>
      </c>
      <c r="AD459" t="s">
        <v>74</v>
      </c>
      <c r="AE459" t="s">
        <v>74</v>
      </c>
      <c r="AF459" t="s">
        <v>74</v>
      </c>
      <c r="AG459">
        <v>5</v>
      </c>
      <c r="AH459">
        <v>11</v>
      </c>
      <c r="AI459">
        <v>11</v>
      </c>
      <c r="AJ459">
        <v>0</v>
      </c>
      <c r="AK459">
        <v>4</v>
      </c>
      <c r="AL459" t="s">
        <v>3710</v>
      </c>
      <c r="AM459" t="s">
        <v>3711</v>
      </c>
      <c r="AN459" t="s">
        <v>3712</v>
      </c>
      <c r="AO459" t="s">
        <v>3713</v>
      </c>
      <c r="AP459" t="s">
        <v>74</v>
      </c>
      <c r="AQ459" t="s">
        <v>74</v>
      </c>
      <c r="AR459" t="s">
        <v>3714</v>
      </c>
      <c r="AS459" t="s">
        <v>3715</v>
      </c>
      <c r="AT459" t="s">
        <v>5744</v>
      </c>
      <c r="AU459">
        <v>2002</v>
      </c>
      <c r="AV459">
        <v>37</v>
      </c>
      <c r="AW459">
        <v>12</v>
      </c>
      <c r="AX459" t="s">
        <v>74</v>
      </c>
      <c r="AY459" t="s">
        <v>903</v>
      </c>
      <c r="AZ459" t="s">
        <v>74</v>
      </c>
      <c r="BA459" t="s">
        <v>74</v>
      </c>
      <c r="BB459" t="s">
        <v>6486</v>
      </c>
      <c r="BC459" t="s">
        <v>6487</v>
      </c>
      <c r="BD459" t="s">
        <v>74</v>
      </c>
      <c r="BE459" t="s">
        <v>6488</v>
      </c>
      <c r="BF459" t="str">
        <f>HYPERLINK("http://dx.doi.org/10.1111/j.1945-5100.2002.tb00897.x","http://dx.doi.org/10.1111/j.1945-5100.2002.tb00897.x")</f>
        <v>http://dx.doi.org/10.1111/j.1945-5100.2002.tb00897.x</v>
      </c>
      <c r="BG459" t="s">
        <v>74</v>
      </c>
      <c r="BH459" t="s">
        <v>74</v>
      </c>
      <c r="BI459">
        <v>7</v>
      </c>
      <c r="BJ459" t="s">
        <v>2068</v>
      </c>
      <c r="BK459" t="s">
        <v>569</v>
      </c>
      <c r="BL459" t="s">
        <v>2068</v>
      </c>
      <c r="BM459" t="s">
        <v>6479</v>
      </c>
      <c r="BN459" t="s">
        <v>74</v>
      </c>
      <c r="BO459" t="s">
        <v>74</v>
      </c>
      <c r="BP459" t="s">
        <v>74</v>
      </c>
      <c r="BQ459" t="s">
        <v>74</v>
      </c>
      <c r="BR459" t="s">
        <v>98</v>
      </c>
      <c r="BS459" t="s">
        <v>6489</v>
      </c>
      <c r="BT459" t="str">
        <f>HYPERLINK("https%3A%2F%2Fwww.webofscience.com%2Fwos%2Fwoscc%2Ffull-record%2FWOS:000180337300002","View Full Record in Web of Science")</f>
        <v>View Full Record in Web of Science</v>
      </c>
    </row>
    <row r="460" spans="1:72" x14ac:dyDescent="0.15">
      <c r="A460" t="s">
        <v>552</v>
      </c>
      <c r="B460" t="s">
        <v>6490</v>
      </c>
      <c r="C460" t="s">
        <v>74</v>
      </c>
      <c r="D460" t="s">
        <v>74</v>
      </c>
      <c r="E460" t="s">
        <v>74</v>
      </c>
      <c r="F460" t="s">
        <v>6490</v>
      </c>
      <c r="G460" t="s">
        <v>74</v>
      </c>
      <c r="H460" t="s">
        <v>74</v>
      </c>
      <c r="I460" t="s">
        <v>6491</v>
      </c>
      <c r="J460" t="s">
        <v>6492</v>
      </c>
      <c r="K460" t="s">
        <v>74</v>
      </c>
      <c r="L460" t="s">
        <v>74</v>
      </c>
      <c r="M460" t="s">
        <v>78</v>
      </c>
      <c r="N460" t="s">
        <v>775</v>
      </c>
      <c r="O460" t="s">
        <v>74</v>
      </c>
      <c r="P460" t="s">
        <v>74</v>
      </c>
      <c r="Q460" t="s">
        <v>74</v>
      </c>
      <c r="R460" t="s">
        <v>74</v>
      </c>
      <c r="S460" t="s">
        <v>74</v>
      </c>
      <c r="T460" t="s">
        <v>6493</v>
      </c>
      <c r="U460" t="s">
        <v>6494</v>
      </c>
      <c r="V460" t="s">
        <v>6495</v>
      </c>
      <c r="W460" t="s">
        <v>6496</v>
      </c>
      <c r="X460" t="s">
        <v>6497</v>
      </c>
      <c r="Y460" t="s">
        <v>6498</v>
      </c>
      <c r="Z460" t="s">
        <v>6499</v>
      </c>
      <c r="AA460" t="s">
        <v>6500</v>
      </c>
      <c r="AB460" t="s">
        <v>6501</v>
      </c>
      <c r="AC460" t="s">
        <v>74</v>
      </c>
      <c r="AD460" t="s">
        <v>74</v>
      </c>
      <c r="AE460" t="s">
        <v>74</v>
      </c>
      <c r="AF460" t="s">
        <v>74</v>
      </c>
      <c r="AG460">
        <v>50</v>
      </c>
      <c r="AH460">
        <v>109</v>
      </c>
      <c r="AI460">
        <v>123</v>
      </c>
      <c r="AJ460">
        <v>1</v>
      </c>
      <c r="AK460">
        <v>40</v>
      </c>
      <c r="AL460" t="s">
        <v>1147</v>
      </c>
      <c r="AM460" t="s">
        <v>1148</v>
      </c>
      <c r="AN460" t="s">
        <v>1149</v>
      </c>
      <c r="AO460" t="s">
        <v>6502</v>
      </c>
      <c r="AP460" t="s">
        <v>6503</v>
      </c>
      <c r="AQ460" t="s">
        <v>74</v>
      </c>
      <c r="AR460" t="s">
        <v>6504</v>
      </c>
      <c r="AS460" t="s">
        <v>6505</v>
      </c>
      <c r="AT460" t="s">
        <v>5744</v>
      </c>
      <c r="AU460">
        <v>2002</v>
      </c>
      <c r="AV460">
        <v>11</v>
      </c>
      <c r="AW460">
        <v>12</v>
      </c>
      <c r="AX460" t="s">
        <v>74</v>
      </c>
      <c r="AY460" t="s">
        <v>74</v>
      </c>
      <c r="AZ460" t="s">
        <v>74</v>
      </c>
      <c r="BA460" t="s">
        <v>74</v>
      </c>
      <c r="BB460">
        <v>2679</v>
      </c>
      <c r="BC460">
        <v>2690</v>
      </c>
      <c r="BD460" t="s">
        <v>74</v>
      </c>
      <c r="BE460" t="s">
        <v>6506</v>
      </c>
      <c r="BF460" t="str">
        <f>HYPERLINK("http://dx.doi.org/10.1046/j.1365-294X.2002.01641.x","http://dx.doi.org/10.1046/j.1365-294X.2002.01641.x")</f>
        <v>http://dx.doi.org/10.1046/j.1365-294X.2002.01641.x</v>
      </c>
      <c r="BG460" t="s">
        <v>74</v>
      </c>
      <c r="BH460" t="s">
        <v>74</v>
      </c>
      <c r="BI460">
        <v>12</v>
      </c>
      <c r="BJ460" t="s">
        <v>6507</v>
      </c>
      <c r="BK460" t="s">
        <v>569</v>
      </c>
      <c r="BL460" t="s">
        <v>6508</v>
      </c>
      <c r="BM460" t="s">
        <v>6509</v>
      </c>
      <c r="BN460">
        <v>12453250</v>
      </c>
      <c r="BO460" t="s">
        <v>74</v>
      </c>
      <c r="BP460" t="s">
        <v>74</v>
      </c>
      <c r="BQ460" t="s">
        <v>74</v>
      </c>
      <c r="BR460" t="s">
        <v>98</v>
      </c>
      <c r="BS460" t="s">
        <v>6510</v>
      </c>
      <c r="BT460" t="str">
        <f>HYPERLINK("https%3A%2F%2Fwww.webofscience.com%2Fwos%2Fwoscc%2Ffull-record%2FWOS:000179492800020","View Full Record in Web of Science")</f>
        <v>View Full Record in Web of Science</v>
      </c>
    </row>
    <row r="461" spans="1:72" x14ac:dyDescent="0.15">
      <c r="A461" t="s">
        <v>552</v>
      </c>
      <c r="B461" t="s">
        <v>6511</v>
      </c>
      <c r="C461" t="s">
        <v>74</v>
      </c>
      <c r="D461" t="s">
        <v>74</v>
      </c>
      <c r="E461" t="s">
        <v>74</v>
      </c>
      <c r="F461" t="s">
        <v>6511</v>
      </c>
      <c r="G461" t="s">
        <v>74</v>
      </c>
      <c r="H461" t="s">
        <v>74</v>
      </c>
      <c r="I461" t="s">
        <v>6512</v>
      </c>
      <c r="J461" t="s">
        <v>6513</v>
      </c>
      <c r="K461" t="s">
        <v>74</v>
      </c>
      <c r="L461" t="s">
        <v>74</v>
      </c>
      <c r="M461" t="s">
        <v>78</v>
      </c>
      <c r="N461" t="s">
        <v>775</v>
      </c>
      <c r="O461" t="s">
        <v>74</v>
      </c>
      <c r="P461" t="s">
        <v>74</v>
      </c>
      <c r="Q461" t="s">
        <v>74</v>
      </c>
      <c r="R461" t="s">
        <v>74</v>
      </c>
      <c r="S461" t="s">
        <v>74</v>
      </c>
      <c r="T461" t="s">
        <v>74</v>
      </c>
      <c r="U461" t="s">
        <v>6514</v>
      </c>
      <c r="V461" t="s">
        <v>6515</v>
      </c>
      <c r="W461" t="s">
        <v>6516</v>
      </c>
      <c r="X461" t="s">
        <v>6517</v>
      </c>
      <c r="Y461" t="s">
        <v>6518</v>
      </c>
      <c r="Z461" t="s">
        <v>6519</v>
      </c>
      <c r="AA461" t="s">
        <v>74</v>
      </c>
      <c r="AB461" t="s">
        <v>6520</v>
      </c>
      <c r="AC461" t="s">
        <v>74</v>
      </c>
      <c r="AD461" t="s">
        <v>74</v>
      </c>
      <c r="AE461" t="s">
        <v>74</v>
      </c>
      <c r="AF461" t="s">
        <v>74</v>
      </c>
      <c r="AG461">
        <v>24</v>
      </c>
      <c r="AH461">
        <v>21</v>
      </c>
      <c r="AI461">
        <v>21</v>
      </c>
      <c r="AJ461">
        <v>0</v>
      </c>
      <c r="AK461">
        <v>10</v>
      </c>
      <c r="AL461" t="s">
        <v>2652</v>
      </c>
      <c r="AM461" t="s">
        <v>2653</v>
      </c>
      <c r="AN461" t="s">
        <v>6357</v>
      </c>
      <c r="AO461" t="s">
        <v>6521</v>
      </c>
      <c r="AP461" t="s">
        <v>6522</v>
      </c>
      <c r="AQ461" t="s">
        <v>74</v>
      </c>
      <c r="AR461" t="s">
        <v>6523</v>
      </c>
      <c r="AS461" t="s">
        <v>6524</v>
      </c>
      <c r="AT461" t="s">
        <v>5744</v>
      </c>
      <c r="AU461">
        <v>2002</v>
      </c>
      <c r="AV461">
        <v>130</v>
      </c>
      <c r="AW461">
        <v>12</v>
      </c>
      <c r="AX461" t="s">
        <v>74</v>
      </c>
      <c r="AY461" t="s">
        <v>74</v>
      </c>
      <c r="AZ461" t="s">
        <v>74</v>
      </c>
      <c r="BA461" t="s">
        <v>74</v>
      </c>
      <c r="BB461">
        <v>3037</v>
      </c>
      <c r="BC461">
        <v>3053</v>
      </c>
      <c r="BD461" t="s">
        <v>74</v>
      </c>
      <c r="BE461" t="s">
        <v>6525</v>
      </c>
      <c r="BF461" t="str">
        <f>HYPERLINK("http://dx.doi.org/10.1175/1520-0493(2002)130&lt;3037:AWSAAN&gt;2.0.CO;2","http://dx.doi.org/10.1175/1520-0493(2002)130&lt;3037:AWSAAN&gt;2.0.CO;2")</f>
        <v>http://dx.doi.org/10.1175/1520-0493(2002)130&lt;3037:AWSAAN&gt;2.0.CO;2</v>
      </c>
      <c r="BG461" t="s">
        <v>74</v>
      </c>
      <c r="BH461" t="s">
        <v>74</v>
      </c>
      <c r="BI461">
        <v>17</v>
      </c>
      <c r="BJ461" t="s">
        <v>1237</v>
      </c>
      <c r="BK461" t="s">
        <v>569</v>
      </c>
      <c r="BL461" t="s">
        <v>1237</v>
      </c>
      <c r="BM461" t="s">
        <v>6526</v>
      </c>
      <c r="BN461" t="s">
        <v>74</v>
      </c>
      <c r="BO461" t="s">
        <v>572</v>
      </c>
      <c r="BP461" t="s">
        <v>74</v>
      </c>
      <c r="BQ461" t="s">
        <v>74</v>
      </c>
      <c r="BR461" t="s">
        <v>98</v>
      </c>
      <c r="BS461" t="s">
        <v>6527</v>
      </c>
      <c r="BT461" t="str">
        <f>HYPERLINK("https%3A%2F%2Fwww.webofscience.com%2Fwos%2Fwoscc%2Ffull-record%2FWOS:000179269500015","View Full Record in Web of Science")</f>
        <v>View Full Record in Web of Science</v>
      </c>
    </row>
    <row r="462" spans="1:72" x14ac:dyDescent="0.15">
      <c r="A462" t="s">
        <v>552</v>
      </c>
      <c r="B462" t="s">
        <v>6528</v>
      </c>
      <c r="C462" t="s">
        <v>74</v>
      </c>
      <c r="D462" t="s">
        <v>74</v>
      </c>
      <c r="E462" t="s">
        <v>74</v>
      </c>
      <c r="F462" t="s">
        <v>6528</v>
      </c>
      <c r="G462" t="s">
        <v>74</v>
      </c>
      <c r="H462" t="s">
        <v>74</v>
      </c>
      <c r="I462" t="s">
        <v>6529</v>
      </c>
      <c r="J462" t="s">
        <v>6530</v>
      </c>
      <c r="K462" t="s">
        <v>74</v>
      </c>
      <c r="L462" t="s">
        <v>74</v>
      </c>
      <c r="M462" t="s">
        <v>78</v>
      </c>
      <c r="N462" t="s">
        <v>775</v>
      </c>
      <c r="O462" t="s">
        <v>74</v>
      </c>
      <c r="P462" t="s">
        <v>74</v>
      </c>
      <c r="Q462" t="s">
        <v>74</v>
      </c>
      <c r="R462" t="s">
        <v>74</v>
      </c>
      <c r="S462" t="s">
        <v>74</v>
      </c>
      <c r="T462" t="s">
        <v>6531</v>
      </c>
      <c r="U462" t="s">
        <v>74</v>
      </c>
      <c r="V462" t="s">
        <v>6532</v>
      </c>
      <c r="W462" t="s">
        <v>6533</v>
      </c>
      <c r="X462" t="s">
        <v>6534</v>
      </c>
      <c r="Y462" t="s">
        <v>6535</v>
      </c>
      <c r="Z462" t="s">
        <v>6536</v>
      </c>
      <c r="AA462" t="s">
        <v>6537</v>
      </c>
      <c r="AB462" t="s">
        <v>6538</v>
      </c>
      <c r="AC462" t="s">
        <v>74</v>
      </c>
      <c r="AD462" t="s">
        <v>74</v>
      </c>
      <c r="AE462" t="s">
        <v>74</v>
      </c>
      <c r="AF462" t="s">
        <v>74</v>
      </c>
      <c r="AG462">
        <v>8</v>
      </c>
      <c r="AH462">
        <v>23</v>
      </c>
      <c r="AI462">
        <v>28</v>
      </c>
      <c r="AJ462">
        <v>2</v>
      </c>
      <c r="AK462">
        <v>33</v>
      </c>
      <c r="AL462" t="s">
        <v>2060</v>
      </c>
      <c r="AM462" t="s">
        <v>2061</v>
      </c>
      <c r="AN462" t="s">
        <v>2062</v>
      </c>
      <c r="AO462" t="s">
        <v>6539</v>
      </c>
      <c r="AP462" t="s">
        <v>6540</v>
      </c>
      <c r="AQ462" t="s">
        <v>74</v>
      </c>
      <c r="AR462" t="s">
        <v>6541</v>
      </c>
      <c r="AS462" t="s">
        <v>6542</v>
      </c>
      <c r="AT462" t="s">
        <v>5744</v>
      </c>
      <c r="AU462">
        <v>2002</v>
      </c>
      <c r="AV462">
        <v>36</v>
      </c>
      <c r="AW462">
        <v>4</v>
      </c>
      <c r="AX462" t="s">
        <v>74</v>
      </c>
      <c r="AY462" t="s">
        <v>74</v>
      </c>
      <c r="AZ462" t="s">
        <v>74</v>
      </c>
      <c r="BA462" t="s">
        <v>74</v>
      </c>
      <c r="BB462">
        <v>733</v>
      </c>
      <c r="BC462">
        <v>736</v>
      </c>
      <c r="BD462" t="s">
        <v>74</v>
      </c>
      <c r="BE462" t="s">
        <v>6543</v>
      </c>
      <c r="BF462" t="str">
        <f>HYPERLINK("http://dx.doi.org/10.1080/00288330.2002.9517126","http://dx.doi.org/10.1080/00288330.2002.9517126")</f>
        <v>http://dx.doi.org/10.1080/00288330.2002.9517126</v>
      </c>
      <c r="BG462" t="s">
        <v>74</v>
      </c>
      <c r="BH462" t="s">
        <v>74</v>
      </c>
      <c r="BI462">
        <v>4</v>
      </c>
      <c r="BJ462" t="s">
        <v>6179</v>
      </c>
      <c r="BK462" t="s">
        <v>569</v>
      </c>
      <c r="BL462" t="s">
        <v>6179</v>
      </c>
      <c r="BM462" t="s">
        <v>6544</v>
      </c>
      <c r="BN462" t="s">
        <v>74</v>
      </c>
      <c r="BO462" t="s">
        <v>74</v>
      </c>
      <c r="BP462" t="s">
        <v>74</v>
      </c>
      <c r="BQ462" t="s">
        <v>74</v>
      </c>
      <c r="BR462" t="s">
        <v>98</v>
      </c>
      <c r="BS462" t="s">
        <v>6545</v>
      </c>
      <c r="BT462" t="str">
        <f>HYPERLINK("https%3A%2F%2Fwww.webofscience.com%2Fwos%2Fwoscc%2Ffull-record%2FWOS:000180330900005","View Full Record in Web of Science")</f>
        <v>View Full Record in Web of Science</v>
      </c>
    </row>
    <row r="463" spans="1:72" x14ac:dyDescent="0.15">
      <c r="A463" t="s">
        <v>552</v>
      </c>
      <c r="B463" t="s">
        <v>6546</v>
      </c>
      <c r="C463" t="s">
        <v>74</v>
      </c>
      <c r="D463" t="s">
        <v>74</v>
      </c>
      <c r="E463" t="s">
        <v>74</v>
      </c>
      <c r="F463" t="s">
        <v>6546</v>
      </c>
      <c r="G463" t="s">
        <v>74</v>
      </c>
      <c r="H463" t="s">
        <v>74</v>
      </c>
      <c r="I463" t="s">
        <v>6547</v>
      </c>
      <c r="J463" t="s">
        <v>6548</v>
      </c>
      <c r="K463" t="s">
        <v>74</v>
      </c>
      <c r="L463" t="s">
        <v>74</v>
      </c>
      <c r="M463" t="s">
        <v>78</v>
      </c>
      <c r="N463" t="s">
        <v>576</v>
      </c>
      <c r="O463" t="s">
        <v>6549</v>
      </c>
      <c r="P463" t="s">
        <v>6550</v>
      </c>
      <c r="Q463" t="s">
        <v>1830</v>
      </c>
      <c r="R463" t="s">
        <v>74</v>
      </c>
      <c r="S463" t="s">
        <v>74</v>
      </c>
      <c r="T463" t="s">
        <v>6551</v>
      </c>
      <c r="U463" t="s">
        <v>6552</v>
      </c>
      <c r="V463" t="s">
        <v>6553</v>
      </c>
      <c r="W463" t="s">
        <v>6554</v>
      </c>
      <c r="X463" t="s">
        <v>6555</v>
      </c>
      <c r="Y463" t="s">
        <v>6556</v>
      </c>
      <c r="Z463" t="s">
        <v>6557</v>
      </c>
      <c r="AA463" t="s">
        <v>6558</v>
      </c>
      <c r="AB463" t="s">
        <v>6559</v>
      </c>
      <c r="AC463" t="s">
        <v>74</v>
      </c>
      <c r="AD463" t="s">
        <v>74</v>
      </c>
      <c r="AE463" t="s">
        <v>74</v>
      </c>
      <c r="AF463" t="s">
        <v>74</v>
      </c>
      <c r="AG463">
        <v>44</v>
      </c>
      <c r="AH463">
        <v>16</v>
      </c>
      <c r="AI463">
        <v>16</v>
      </c>
      <c r="AJ463">
        <v>0</v>
      </c>
      <c r="AK463">
        <v>6</v>
      </c>
      <c r="AL463" t="s">
        <v>6560</v>
      </c>
      <c r="AM463" t="s">
        <v>1839</v>
      </c>
      <c r="AN463" t="s">
        <v>6561</v>
      </c>
      <c r="AO463" t="s">
        <v>6562</v>
      </c>
      <c r="AP463" t="s">
        <v>6563</v>
      </c>
      <c r="AQ463" t="s">
        <v>74</v>
      </c>
      <c r="AR463" t="s">
        <v>6564</v>
      </c>
      <c r="AS463" t="s">
        <v>6565</v>
      </c>
      <c r="AT463" t="s">
        <v>5744</v>
      </c>
      <c r="AU463">
        <v>2002</v>
      </c>
      <c r="AV463">
        <v>41</v>
      </c>
      <c r="AW463">
        <v>12</v>
      </c>
      <c r="AX463" t="s">
        <v>74</v>
      </c>
      <c r="AY463" t="s">
        <v>74</v>
      </c>
      <c r="AZ463" t="s">
        <v>74</v>
      </c>
      <c r="BA463" t="s">
        <v>74</v>
      </c>
      <c r="BB463">
        <v>3040</v>
      </c>
      <c r="BC463">
        <v>3050</v>
      </c>
      <c r="BD463" t="s">
        <v>74</v>
      </c>
      <c r="BE463" t="s">
        <v>6566</v>
      </c>
      <c r="BF463" t="str">
        <f>HYPERLINK("http://dx.doi.org/10.1117/1.1517575","http://dx.doi.org/10.1117/1.1517575")</f>
        <v>http://dx.doi.org/10.1117/1.1517575</v>
      </c>
      <c r="BG463" t="s">
        <v>74</v>
      </c>
      <c r="BH463" t="s">
        <v>74</v>
      </c>
      <c r="BI463">
        <v>11</v>
      </c>
      <c r="BJ463" t="s">
        <v>6567</v>
      </c>
      <c r="BK463" t="s">
        <v>605</v>
      </c>
      <c r="BL463" t="s">
        <v>6567</v>
      </c>
      <c r="BM463" t="s">
        <v>6568</v>
      </c>
      <c r="BN463" t="s">
        <v>74</v>
      </c>
      <c r="BO463" t="s">
        <v>74</v>
      </c>
      <c r="BP463" t="s">
        <v>74</v>
      </c>
      <c r="BQ463" t="s">
        <v>74</v>
      </c>
      <c r="BR463" t="s">
        <v>98</v>
      </c>
      <c r="BS463" t="s">
        <v>6569</v>
      </c>
      <c r="BT463" t="str">
        <f>HYPERLINK("https%3A%2F%2Fwww.webofscience.com%2Fwos%2Fwoscc%2Ffull-record%2FWOS:000179954500009","View Full Record in Web of Science")</f>
        <v>View Full Record in Web of Science</v>
      </c>
    </row>
    <row r="464" spans="1:72" x14ac:dyDescent="0.15">
      <c r="A464" t="s">
        <v>552</v>
      </c>
      <c r="B464" t="s">
        <v>6570</v>
      </c>
      <c r="C464" t="s">
        <v>74</v>
      </c>
      <c r="D464" t="s">
        <v>74</v>
      </c>
      <c r="E464" t="s">
        <v>74</v>
      </c>
      <c r="F464" t="s">
        <v>6570</v>
      </c>
      <c r="G464" t="s">
        <v>74</v>
      </c>
      <c r="H464" t="s">
        <v>74</v>
      </c>
      <c r="I464" t="s">
        <v>6571</v>
      </c>
      <c r="J464" t="s">
        <v>6548</v>
      </c>
      <c r="K464" t="s">
        <v>74</v>
      </c>
      <c r="L464" t="s">
        <v>74</v>
      </c>
      <c r="M464" t="s">
        <v>78</v>
      </c>
      <c r="N464" t="s">
        <v>576</v>
      </c>
      <c r="O464" t="s">
        <v>6549</v>
      </c>
      <c r="P464" t="s">
        <v>6550</v>
      </c>
      <c r="Q464" t="s">
        <v>6572</v>
      </c>
      <c r="R464" t="s">
        <v>74</v>
      </c>
      <c r="S464" t="s">
        <v>74</v>
      </c>
      <c r="T464" t="s">
        <v>6573</v>
      </c>
      <c r="U464" t="s">
        <v>6574</v>
      </c>
      <c r="V464" t="s">
        <v>6575</v>
      </c>
      <c r="W464" t="s">
        <v>6576</v>
      </c>
      <c r="X464" t="s">
        <v>6577</v>
      </c>
      <c r="Y464" t="s">
        <v>6578</v>
      </c>
      <c r="Z464" t="s">
        <v>74</v>
      </c>
      <c r="AA464" t="s">
        <v>74</v>
      </c>
      <c r="AB464" t="s">
        <v>74</v>
      </c>
      <c r="AC464" t="s">
        <v>74</v>
      </c>
      <c r="AD464" t="s">
        <v>74</v>
      </c>
      <c r="AE464" t="s">
        <v>74</v>
      </c>
      <c r="AF464" t="s">
        <v>74</v>
      </c>
      <c r="AG464">
        <v>24</v>
      </c>
      <c r="AH464">
        <v>17</v>
      </c>
      <c r="AI464">
        <v>19</v>
      </c>
      <c r="AJ464">
        <v>0</v>
      </c>
      <c r="AK464">
        <v>2</v>
      </c>
      <c r="AL464" t="s">
        <v>6579</v>
      </c>
      <c r="AM464" t="s">
        <v>1839</v>
      </c>
      <c r="AN464" t="s">
        <v>6561</v>
      </c>
      <c r="AO464" t="s">
        <v>6562</v>
      </c>
      <c r="AP464" t="s">
        <v>74</v>
      </c>
      <c r="AQ464" t="s">
        <v>74</v>
      </c>
      <c r="AR464" t="s">
        <v>6564</v>
      </c>
      <c r="AS464" t="s">
        <v>6565</v>
      </c>
      <c r="AT464" t="s">
        <v>5744</v>
      </c>
      <c r="AU464">
        <v>2002</v>
      </c>
      <c r="AV464">
        <v>41</v>
      </c>
      <c r="AW464">
        <v>12</v>
      </c>
      <c r="AX464" t="s">
        <v>74</v>
      </c>
      <c r="AY464" t="s">
        <v>74</v>
      </c>
      <c r="AZ464" t="s">
        <v>74</v>
      </c>
      <c r="BA464" t="s">
        <v>74</v>
      </c>
      <c r="BB464">
        <v>3062</v>
      </c>
      <c r="BC464">
        <v>3069</v>
      </c>
      <c r="BD464" t="s">
        <v>74</v>
      </c>
      <c r="BE464" t="s">
        <v>6580</v>
      </c>
      <c r="BF464" t="str">
        <f>HYPERLINK("http://dx.doi.org/10.1117/1.1516823","http://dx.doi.org/10.1117/1.1516823")</f>
        <v>http://dx.doi.org/10.1117/1.1516823</v>
      </c>
      <c r="BG464" t="s">
        <v>74</v>
      </c>
      <c r="BH464" t="s">
        <v>74</v>
      </c>
      <c r="BI464">
        <v>8</v>
      </c>
      <c r="BJ464" t="s">
        <v>6567</v>
      </c>
      <c r="BK464" t="s">
        <v>589</v>
      </c>
      <c r="BL464" t="s">
        <v>6567</v>
      </c>
      <c r="BM464" t="s">
        <v>6568</v>
      </c>
      <c r="BN464" t="s">
        <v>74</v>
      </c>
      <c r="BO464" t="s">
        <v>74</v>
      </c>
      <c r="BP464" t="s">
        <v>74</v>
      </c>
      <c r="BQ464" t="s">
        <v>74</v>
      </c>
      <c r="BR464" t="s">
        <v>98</v>
      </c>
      <c r="BS464" t="s">
        <v>6581</v>
      </c>
      <c r="BT464" t="str">
        <f>HYPERLINK("https%3A%2F%2Fwww.webofscience.com%2Fwos%2Fwoscc%2Ffull-record%2FWOS:000179954500011","View Full Record in Web of Science")</f>
        <v>View Full Record in Web of Science</v>
      </c>
    </row>
    <row r="465" spans="1:72" x14ac:dyDescent="0.15">
      <c r="A465" t="s">
        <v>552</v>
      </c>
      <c r="B465" t="s">
        <v>6582</v>
      </c>
      <c r="C465" t="s">
        <v>74</v>
      </c>
      <c r="D465" t="s">
        <v>74</v>
      </c>
      <c r="E465" t="s">
        <v>74</v>
      </c>
      <c r="F465" t="s">
        <v>6582</v>
      </c>
      <c r="G465" t="s">
        <v>74</v>
      </c>
      <c r="H465" t="s">
        <v>74</v>
      </c>
      <c r="I465" t="s">
        <v>6583</v>
      </c>
      <c r="J465" t="s">
        <v>6548</v>
      </c>
      <c r="K465" t="s">
        <v>74</v>
      </c>
      <c r="L465" t="s">
        <v>74</v>
      </c>
      <c r="M465" t="s">
        <v>78</v>
      </c>
      <c r="N465" t="s">
        <v>576</v>
      </c>
      <c r="O465" t="s">
        <v>6549</v>
      </c>
      <c r="P465" t="s">
        <v>6550</v>
      </c>
      <c r="Q465" t="s">
        <v>6572</v>
      </c>
      <c r="R465" t="s">
        <v>74</v>
      </c>
      <c r="S465" t="s">
        <v>74</v>
      </c>
      <c r="T465" t="s">
        <v>6584</v>
      </c>
      <c r="U465" t="s">
        <v>6585</v>
      </c>
      <c r="V465" t="s">
        <v>6586</v>
      </c>
      <c r="W465" t="s">
        <v>6587</v>
      </c>
      <c r="X465" t="s">
        <v>6588</v>
      </c>
      <c r="Y465" t="s">
        <v>6589</v>
      </c>
      <c r="Z465" t="s">
        <v>74</v>
      </c>
      <c r="AA465" t="s">
        <v>6590</v>
      </c>
      <c r="AB465" t="s">
        <v>6591</v>
      </c>
      <c r="AC465" t="s">
        <v>74</v>
      </c>
      <c r="AD465" t="s">
        <v>74</v>
      </c>
      <c r="AE465" t="s">
        <v>74</v>
      </c>
      <c r="AF465" t="s">
        <v>74</v>
      </c>
      <c r="AG465">
        <v>24</v>
      </c>
      <c r="AH465">
        <v>20</v>
      </c>
      <c r="AI465">
        <v>21</v>
      </c>
      <c r="AJ465">
        <v>0</v>
      </c>
      <c r="AK465">
        <v>0</v>
      </c>
      <c r="AL465" t="s">
        <v>6579</v>
      </c>
      <c r="AM465" t="s">
        <v>1839</v>
      </c>
      <c r="AN465" t="s">
        <v>6561</v>
      </c>
      <c r="AO465" t="s">
        <v>6562</v>
      </c>
      <c r="AP465" t="s">
        <v>74</v>
      </c>
      <c r="AQ465" t="s">
        <v>74</v>
      </c>
      <c r="AR465" t="s">
        <v>6564</v>
      </c>
      <c r="AS465" t="s">
        <v>6565</v>
      </c>
      <c r="AT465" t="s">
        <v>5744</v>
      </c>
      <c r="AU465">
        <v>2002</v>
      </c>
      <c r="AV465">
        <v>41</v>
      </c>
      <c r="AW465">
        <v>12</v>
      </c>
      <c r="AX465" t="s">
        <v>74</v>
      </c>
      <c r="AY465" t="s">
        <v>74</v>
      </c>
      <c r="AZ465" t="s">
        <v>74</v>
      </c>
      <c r="BA465" t="s">
        <v>74</v>
      </c>
      <c r="BB465">
        <v>3082</v>
      </c>
      <c r="BC465">
        <v>3089</v>
      </c>
      <c r="BD465" t="s">
        <v>74</v>
      </c>
      <c r="BE465" t="s">
        <v>6592</v>
      </c>
      <c r="BF465" t="str">
        <f>HYPERLINK("http://dx.doi.org/10.1117/1.1516821","http://dx.doi.org/10.1117/1.1516821")</f>
        <v>http://dx.doi.org/10.1117/1.1516821</v>
      </c>
      <c r="BG465" t="s">
        <v>74</v>
      </c>
      <c r="BH465" t="s">
        <v>74</v>
      </c>
      <c r="BI465">
        <v>8</v>
      </c>
      <c r="BJ465" t="s">
        <v>6567</v>
      </c>
      <c r="BK465" t="s">
        <v>589</v>
      </c>
      <c r="BL465" t="s">
        <v>6567</v>
      </c>
      <c r="BM465" t="s">
        <v>6568</v>
      </c>
      <c r="BN465" t="s">
        <v>74</v>
      </c>
      <c r="BO465" t="s">
        <v>74</v>
      </c>
      <c r="BP465" t="s">
        <v>74</v>
      </c>
      <c r="BQ465" t="s">
        <v>74</v>
      </c>
      <c r="BR465" t="s">
        <v>98</v>
      </c>
      <c r="BS465" t="s">
        <v>6593</v>
      </c>
      <c r="BT465" t="str">
        <f>HYPERLINK("https%3A%2F%2Fwww.webofscience.com%2Fwos%2Fwoscc%2Ffull-record%2FWOS:000179954500013","View Full Record in Web of Science")</f>
        <v>View Full Record in Web of Science</v>
      </c>
    </row>
    <row r="466" spans="1:72" x14ac:dyDescent="0.15">
      <c r="A466" t="s">
        <v>552</v>
      </c>
      <c r="B466" t="s">
        <v>6594</v>
      </c>
      <c r="C466" t="s">
        <v>74</v>
      </c>
      <c r="D466" t="s">
        <v>74</v>
      </c>
      <c r="E466" t="s">
        <v>74</v>
      </c>
      <c r="F466" t="s">
        <v>6594</v>
      </c>
      <c r="G466" t="s">
        <v>74</v>
      </c>
      <c r="H466" t="s">
        <v>74</v>
      </c>
      <c r="I466" t="s">
        <v>6595</v>
      </c>
      <c r="J466" t="s">
        <v>4134</v>
      </c>
      <c r="K466" t="s">
        <v>74</v>
      </c>
      <c r="L466" t="s">
        <v>74</v>
      </c>
      <c r="M466" t="s">
        <v>78</v>
      </c>
      <c r="N466" t="s">
        <v>1114</v>
      </c>
      <c r="O466" t="s">
        <v>74</v>
      </c>
      <c r="P466" t="s">
        <v>74</v>
      </c>
      <c r="Q466" t="s">
        <v>74</v>
      </c>
      <c r="R466" t="s">
        <v>74</v>
      </c>
      <c r="S466" t="s">
        <v>74</v>
      </c>
      <c r="T466" t="s">
        <v>6596</v>
      </c>
      <c r="U466" t="s">
        <v>6597</v>
      </c>
      <c r="V466" t="s">
        <v>6598</v>
      </c>
      <c r="W466" t="s">
        <v>6599</v>
      </c>
      <c r="X466" t="s">
        <v>6600</v>
      </c>
      <c r="Y466" t="s">
        <v>6601</v>
      </c>
      <c r="Z466" t="s">
        <v>6602</v>
      </c>
      <c r="AA466" t="s">
        <v>74</v>
      </c>
      <c r="AB466" t="s">
        <v>74</v>
      </c>
      <c r="AC466" t="s">
        <v>74</v>
      </c>
      <c r="AD466" t="s">
        <v>74</v>
      </c>
      <c r="AE466" t="s">
        <v>74</v>
      </c>
      <c r="AF466" t="s">
        <v>74</v>
      </c>
      <c r="AG466">
        <v>120</v>
      </c>
      <c r="AH466">
        <v>16</v>
      </c>
      <c r="AI466">
        <v>16</v>
      </c>
      <c r="AJ466">
        <v>0</v>
      </c>
      <c r="AK466">
        <v>9</v>
      </c>
      <c r="AL466" t="s">
        <v>1860</v>
      </c>
      <c r="AM466" t="s">
        <v>1861</v>
      </c>
      <c r="AN466" t="s">
        <v>1862</v>
      </c>
      <c r="AO466" t="s">
        <v>4142</v>
      </c>
      <c r="AP466" t="s">
        <v>74</v>
      </c>
      <c r="AQ466" t="s">
        <v>74</v>
      </c>
      <c r="AR466" t="s">
        <v>4143</v>
      </c>
      <c r="AS466" t="s">
        <v>4144</v>
      </c>
      <c r="AT466" t="s">
        <v>5989</v>
      </c>
      <c r="AU466">
        <v>2002</v>
      </c>
      <c r="AV466">
        <v>188</v>
      </c>
      <c r="AW466" t="s">
        <v>1866</v>
      </c>
      <c r="AX466" t="s">
        <v>74</v>
      </c>
      <c r="AY466" t="s">
        <v>74</v>
      </c>
      <c r="AZ466" t="s">
        <v>74</v>
      </c>
      <c r="BA466" t="s">
        <v>74</v>
      </c>
      <c r="BB466">
        <v>73</v>
      </c>
      <c r="BC466">
        <v>100</v>
      </c>
      <c r="BD466" t="s">
        <v>6603</v>
      </c>
      <c r="BE466" t="s">
        <v>6604</v>
      </c>
      <c r="BF466" t="str">
        <f>HYPERLINK("http://dx.doi.org/10.1016/S0031-0182(02)00531-X","http://dx.doi.org/10.1016/S0031-0182(02)00531-X")</f>
        <v>http://dx.doi.org/10.1016/S0031-0182(02)00531-X</v>
      </c>
      <c r="BG466" t="s">
        <v>74</v>
      </c>
      <c r="BH466" t="s">
        <v>74</v>
      </c>
      <c r="BI466">
        <v>28</v>
      </c>
      <c r="BJ466" t="s">
        <v>4147</v>
      </c>
      <c r="BK466" t="s">
        <v>569</v>
      </c>
      <c r="BL466" t="s">
        <v>4148</v>
      </c>
      <c r="BM466" t="s">
        <v>6605</v>
      </c>
      <c r="BN466" t="s">
        <v>74</v>
      </c>
      <c r="BO466" t="s">
        <v>74</v>
      </c>
      <c r="BP466" t="s">
        <v>74</v>
      </c>
      <c r="BQ466" t="s">
        <v>74</v>
      </c>
      <c r="BR466" t="s">
        <v>98</v>
      </c>
      <c r="BS466" t="s">
        <v>6606</v>
      </c>
      <c r="BT466" t="str">
        <f>HYPERLINK("https%3A%2F%2Fwww.webofscience.com%2Fwos%2Fwoscc%2Ffull-record%2FWOS:000179263600005","View Full Record in Web of Science")</f>
        <v>View Full Record in Web of Science</v>
      </c>
    </row>
    <row r="467" spans="1:72" x14ac:dyDescent="0.15">
      <c r="A467" t="s">
        <v>552</v>
      </c>
      <c r="B467" t="s">
        <v>6607</v>
      </c>
      <c r="C467" t="s">
        <v>74</v>
      </c>
      <c r="D467" t="s">
        <v>74</v>
      </c>
      <c r="E467" t="s">
        <v>74</v>
      </c>
      <c r="F467" t="s">
        <v>6607</v>
      </c>
      <c r="G467" t="s">
        <v>74</v>
      </c>
      <c r="H467" t="s">
        <v>74</v>
      </c>
      <c r="I467" t="s">
        <v>6608</v>
      </c>
      <c r="J467" t="s">
        <v>6609</v>
      </c>
      <c r="K467" t="s">
        <v>74</v>
      </c>
      <c r="L467" t="s">
        <v>74</v>
      </c>
      <c r="M467" t="s">
        <v>78</v>
      </c>
      <c r="N467" t="s">
        <v>775</v>
      </c>
      <c r="O467" t="s">
        <v>74</v>
      </c>
      <c r="P467" t="s">
        <v>74</v>
      </c>
      <c r="Q467" t="s">
        <v>74</v>
      </c>
      <c r="R467" t="s">
        <v>74</v>
      </c>
      <c r="S467" t="s">
        <v>74</v>
      </c>
      <c r="T467" t="s">
        <v>6610</v>
      </c>
      <c r="U467" t="s">
        <v>6611</v>
      </c>
      <c r="V467" t="s">
        <v>6612</v>
      </c>
      <c r="W467" t="s">
        <v>6613</v>
      </c>
      <c r="X467" t="s">
        <v>6614</v>
      </c>
      <c r="Y467" t="s">
        <v>6615</v>
      </c>
      <c r="Z467" t="s">
        <v>6616</v>
      </c>
      <c r="AA467" t="s">
        <v>74</v>
      </c>
      <c r="AB467" t="s">
        <v>74</v>
      </c>
      <c r="AC467" t="s">
        <v>74</v>
      </c>
      <c r="AD467" t="s">
        <v>74</v>
      </c>
      <c r="AE467" t="s">
        <v>74</v>
      </c>
      <c r="AF467" t="s">
        <v>74</v>
      </c>
      <c r="AG467">
        <v>57</v>
      </c>
      <c r="AH467">
        <v>54</v>
      </c>
      <c r="AI467">
        <v>56</v>
      </c>
      <c r="AJ467">
        <v>1</v>
      </c>
      <c r="AK467">
        <v>25</v>
      </c>
      <c r="AL467" t="s">
        <v>1147</v>
      </c>
      <c r="AM467" t="s">
        <v>1148</v>
      </c>
      <c r="AN467" t="s">
        <v>1149</v>
      </c>
      <c r="AO467" t="s">
        <v>6617</v>
      </c>
      <c r="AP467" t="s">
        <v>6618</v>
      </c>
      <c r="AQ467" t="s">
        <v>74</v>
      </c>
      <c r="AR467" t="s">
        <v>6619</v>
      </c>
      <c r="AS467" t="s">
        <v>6620</v>
      </c>
      <c r="AT467" t="s">
        <v>5744</v>
      </c>
      <c r="AU467">
        <v>2002</v>
      </c>
      <c r="AV467">
        <v>18</v>
      </c>
      <c r="AW467">
        <v>6</v>
      </c>
      <c r="AX467" t="s">
        <v>74</v>
      </c>
      <c r="AY467" t="s">
        <v>74</v>
      </c>
      <c r="AZ467" t="s">
        <v>74</v>
      </c>
      <c r="BA467" t="s">
        <v>74</v>
      </c>
      <c r="BB467">
        <v>294</v>
      </c>
      <c r="BC467">
        <v>302</v>
      </c>
      <c r="BD467" t="s">
        <v>74</v>
      </c>
      <c r="BE467" t="s">
        <v>6621</v>
      </c>
      <c r="BF467" t="str">
        <f>HYPERLINK("http://dx.doi.org/10.1034/j.1600-0781.2002.02782.x","http://dx.doi.org/10.1034/j.1600-0781.2002.02782.x")</f>
        <v>http://dx.doi.org/10.1034/j.1600-0781.2002.02782.x</v>
      </c>
      <c r="BG467" t="s">
        <v>74</v>
      </c>
      <c r="BH467" t="s">
        <v>74</v>
      </c>
      <c r="BI467">
        <v>9</v>
      </c>
      <c r="BJ467" t="s">
        <v>6622</v>
      </c>
      <c r="BK467" t="s">
        <v>569</v>
      </c>
      <c r="BL467" t="s">
        <v>6622</v>
      </c>
      <c r="BM467" t="s">
        <v>6623</v>
      </c>
      <c r="BN467">
        <v>12535025</v>
      </c>
      <c r="BO467" t="s">
        <v>74</v>
      </c>
      <c r="BP467" t="s">
        <v>74</v>
      </c>
      <c r="BQ467" t="s">
        <v>74</v>
      </c>
      <c r="BR467" t="s">
        <v>98</v>
      </c>
      <c r="BS467" t="s">
        <v>6624</v>
      </c>
      <c r="BT467" t="str">
        <f>HYPERLINK("https%3A%2F%2Fwww.webofscience.com%2Fwos%2Fwoscc%2Ffull-record%2FWOS:000179548600004","View Full Record in Web of Science")</f>
        <v>View Full Record in Web of Science</v>
      </c>
    </row>
    <row r="468" spans="1:72" x14ac:dyDescent="0.15">
      <c r="A468" t="s">
        <v>552</v>
      </c>
      <c r="B468" t="s">
        <v>6625</v>
      </c>
      <c r="C468" t="s">
        <v>74</v>
      </c>
      <c r="D468" t="s">
        <v>74</v>
      </c>
      <c r="E468" t="s">
        <v>74</v>
      </c>
      <c r="F468" t="s">
        <v>6625</v>
      </c>
      <c r="G468" t="s">
        <v>74</v>
      </c>
      <c r="H468" t="s">
        <v>74</v>
      </c>
      <c r="I468" t="s">
        <v>6626</v>
      </c>
      <c r="J468" t="s">
        <v>6627</v>
      </c>
      <c r="K468" t="s">
        <v>74</v>
      </c>
      <c r="L468" t="s">
        <v>74</v>
      </c>
      <c r="M468" t="s">
        <v>78</v>
      </c>
      <c r="N468" t="s">
        <v>775</v>
      </c>
      <c r="O468" t="s">
        <v>74</v>
      </c>
      <c r="P468" t="s">
        <v>74</v>
      </c>
      <c r="Q468" t="s">
        <v>74</v>
      </c>
      <c r="R468" t="s">
        <v>74</v>
      </c>
      <c r="S468" t="s">
        <v>74</v>
      </c>
      <c r="T468" t="s">
        <v>6628</v>
      </c>
      <c r="U468" t="s">
        <v>6629</v>
      </c>
      <c r="V468" t="s">
        <v>6630</v>
      </c>
      <c r="W468" t="s">
        <v>6631</v>
      </c>
      <c r="X468" t="s">
        <v>6632</v>
      </c>
      <c r="Y468" t="s">
        <v>6633</v>
      </c>
      <c r="Z468" t="s">
        <v>74</v>
      </c>
      <c r="AA468" t="s">
        <v>6634</v>
      </c>
      <c r="AB468" t="s">
        <v>6635</v>
      </c>
      <c r="AC468" t="s">
        <v>74</v>
      </c>
      <c r="AD468" t="s">
        <v>74</v>
      </c>
      <c r="AE468" t="s">
        <v>74</v>
      </c>
      <c r="AF468" t="s">
        <v>74</v>
      </c>
      <c r="AG468">
        <v>47</v>
      </c>
      <c r="AH468">
        <v>55</v>
      </c>
      <c r="AI468">
        <v>62</v>
      </c>
      <c r="AJ468">
        <v>1</v>
      </c>
      <c r="AK468">
        <v>24</v>
      </c>
      <c r="AL468" t="s">
        <v>2581</v>
      </c>
      <c r="AM468" t="s">
        <v>807</v>
      </c>
      <c r="AN468" t="s">
        <v>2582</v>
      </c>
      <c r="AO468" t="s">
        <v>6636</v>
      </c>
      <c r="AP468" t="s">
        <v>74</v>
      </c>
      <c r="AQ468" t="s">
        <v>74</v>
      </c>
      <c r="AR468" t="s">
        <v>6637</v>
      </c>
      <c r="AS468" t="s">
        <v>6638</v>
      </c>
      <c r="AT468" t="s">
        <v>5744</v>
      </c>
      <c r="AU468">
        <v>2002</v>
      </c>
      <c r="AV468">
        <v>25</v>
      </c>
      <c r="AW468">
        <v>12</v>
      </c>
      <c r="AX468" t="s">
        <v>74</v>
      </c>
      <c r="AY468" t="s">
        <v>74</v>
      </c>
      <c r="AZ468" t="s">
        <v>74</v>
      </c>
      <c r="BA468" t="s">
        <v>74</v>
      </c>
      <c r="BB468">
        <v>1579</v>
      </c>
      <c r="BC468">
        <v>1589</v>
      </c>
      <c r="BD468" t="s">
        <v>74</v>
      </c>
      <c r="BE468" t="s">
        <v>6639</v>
      </c>
      <c r="BF468" t="str">
        <f>HYPERLINK("http://dx.doi.org/10.1046/j.1365-3040.2002.00914.x","http://dx.doi.org/10.1046/j.1365-3040.2002.00914.x")</f>
        <v>http://dx.doi.org/10.1046/j.1365-3040.2002.00914.x</v>
      </c>
      <c r="BG468" t="s">
        <v>74</v>
      </c>
      <c r="BH468" t="s">
        <v>74</v>
      </c>
      <c r="BI468">
        <v>11</v>
      </c>
      <c r="BJ468" t="s">
        <v>2326</v>
      </c>
      <c r="BK468" t="s">
        <v>569</v>
      </c>
      <c r="BL468" t="s">
        <v>2326</v>
      </c>
      <c r="BM468" t="s">
        <v>6640</v>
      </c>
      <c r="BN468" t="s">
        <v>74</v>
      </c>
      <c r="BO468" t="s">
        <v>572</v>
      </c>
      <c r="BP468" t="s">
        <v>74</v>
      </c>
      <c r="BQ468" t="s">
        <v>74</v>
      </c>
      <c r="BR468" t="s">
        <v>98</v>
      </c>
      <c r="BS468" t="s">
        <v>6641</v>
      </c>
      <c r="BT468" t="str">
        <f>HYPERLINK("https%3A%2F%2Fwww.webofscience.com%2Fwos%2Fwoscc%2Ffull-record%2FWOS:000179578900001","View Full Record in Web of Science")</f>
        <v>View Full Record in Web of Science</v>
      </c>
    </row>
    <row r="469" spans="1:72" x14ac:dyDescent="0.15">
      <c r="A469" t="s">
        <v>552</v>
      </c>
      <c r="B469" t="s">
        <v>6642</v>
      </c>
      <c r="C469" t="s">
        <v>74</v>
      </c>
      <c r="D469" t="s">
        <v>74</v>
      </c>
      <c r="E469" t="s">
        <v>74</v>
      </c>
      <c r="F469" t="s">
        <v>6642</v>
      </c>
      <c r="G469" t="s">
        <v>74</v>
      </c>
      <c r="H469" t="s">
        <v>74</v>
      </c>
      <c r="I469" t="s">
        <v>6643</v>
      </c>
      <c r="J469" t="s">
        <v>4431</v>
      </c>
      <c r="K469" t="s">
        <v>74</v>
      </c>
      <c r="L469" t="s">
        <v>74</v>
      </c>
      <c r="M469" t="s">
        <v>78</v>
      </c>
      <c r="N469" t="s">
        <v>775</v>
      </c>
      <c r="O469" t="s">
        <v>74</v>
      </c>
      <c r="P469" t="s">
        <v>74</v>
      </c>
      <c r="Q469" t="s">
        <v>74</v>
      </c>
      <c r="R469" t="s">
        <v>74</v>
      </c>
      <c r="S469" t="s">
        <v>74</v>
      </c>
      <c r="T469" t="s">
        <v>74</v>
      </c>
      <c r="U469" t="s">
        <v>6644</v>
      </c>
      <c r="V469" t="s">
        <v>6645</v>
      </c>
      <c r="W469" t="s">
        <v>6646</v>
      </c>
      <c r="X469" t="s">
        <v>74</v>
      </c>
      <c r="Y469" t="s">
        <v>6647</v>
      </c>
      <c r="Z469" t="s">
        <v>6648</v>
      </c>
      <c r="AA469" t="s">
        <v>6649</v>
      </c>
      <c r="AB469" t="s">
        <v>6650</v>
      </c>
      <c r="AC469" t="s">
        <v>74</v>
      </c>
      <c r="AD469" t="s">
        <v>74</v>
      </c>
      <c r="AE469" t="s">
        <v>74</v>
      </c>
      <c r="AF469" t="s">
        <v>74</v>
      </c>
      <c r="AG469">
        <v>35</v>
      </c>
      <c r="AH469">
        <v>19</v>
      </c>
      <c r="AI469">
        <v>20</v>
      </c>
      <c r="AJ469">
        <v>0</v>
      </c>
      <c r="AK469">
        <v>7</v>
      </c>
      <c r="AL469" t="s">
        <v>1230</v>
      </c>
      <c r="AM469" t="s">
        <v>561</v>
      </c>
      <c r="AN469" t="s">
        <v>2959</v>
      </c>
      <c r="AO469" t="s">
        <v>4435</v>
      </c>
      <c r="AP469" t="s">
        <v>4450</v>
      </c>
      <c r="AQ469" t="s">
        <v>74</v>
      </c>
      <c r="AR469" t="s">
        <v>4436</v>
      </c>
      <c r="AS469" t="s">
        <v>4437</v>
      </c>
      <c r="AT469" t="s">
        <v>5744</v>
      </c>
      <c r="AU469">
        <v>2002</v>
      </c>
      <c r="AV469">
        <v>25</v>
      </c>
      <c r="AW469">
        <v>12</v>
      </c>
      <c r="AX469" t="s">
        <v>74</v>
      </c>
      <c r="AY469" t="s">
        <v>74</v>
      </c>
      <c r="AZ469" t="s">
        <v>74</v>
      </c>
      <c r="BA469" t="s">
        <v>74</v>
      </c>
      <c r="BB469">
        <v>891</v>
      </c>
      <c r="BC469">
        <v>897</v>
      </c>
      <c r="BD469" t="s">
        <v>74</v>
      </c>
      <c r="BE469" t="s">
        <v>6651</v>
      </c>
      <c r="BF469" t="str">
        <f>HYPERLINK("http://dx.doi.org/10.1007/s00300-002-0431-6","http://dx.doi.org/10.1007/s00300-002-0431-6")</f>
        <v>http://dx.doi.org/10.1007/s00300-002-0431-6</v>
      </c>
      <c r="BG469" t="s">
        <v>74</v>
      </c>
      <c r="BH469" t="s">
        <v>74</v>
      </c>
      <c r="BI469">
        <v>7</v>
      </c>
      <c r="BJ469" t="s">
        <v>4439</v>
      </c>
      <c r="BK469" t="s">
        <v>569</v>
      </c>
      <c r="BL469" t="s">
        <v>4440</v>
      </c>
      <c r="BM469" t="s">
        <v>6652</v>
      </c>
      <c r="BN469" t="s">
        <v>74</v>
      </c>
      <c r="BO469" t="s">
        <v>74</v>
      </c>
      <c r="BP469" t="s">
        <v>74</v>
      </c>
      <c r="BQ469" t="s">
        <v>74</v>
      </c>
      <c r="BR469" t="s">
        <v>98</v>
      </c>
      <c r="BS469" t="s">
        <v>6653</v>
      </c>
      <c r="BT469" t="str">
        <f>HYPERLINK("https%3A%2F%2Fwww.webofscience.com%2Fwos%2Fwoscc%2Ffull-record%2FWOS:000179923500004","View Full Record in Web of Science")</f>
        <v>View Full Record in Web of Science</v>
      </c>
    </row>
    <row r="470" spans="1:72" x14ac:dyDescent="0.15">
      <c r="A470" t="s">
        <v>552</v>
      </c>
      <c r="B470" t="s">
        <v>6654</v>
      </c>
      <c r="C470" t="s">
        <v>74</v>
      </c>
      <c r="D470" t="s">
        <v>74</v>
      </c>
      <c r="E470" t="s">
        <v>74</v>
      </c>
      <c r="F470" t="s">
        <v>6654</v>
      </c>
      <c r="G470" t="s">
        <v>74</v>
      </c>
      <c r="H470" t="s">
        <v>74</v>
      </c>
      <c r="I470" t="s">
        <v>6655</v>
      </c>
      <c r="J470" t="s">
        <v>4431</v>
      </c>
      <c r="K470" t="s">
        <v>74</v>
      </c>
      <c r="L470" t="s">
        <v>74</v>
      </c>
      <c r="M470" t="s">
        <v>78</v>
      </c>
      <c r="N470" t="s">
        <v>775</v>
      </c>
      <c r="O470" t="s">
        <v>74</v>
      </c>
      <c r="P470" t="s">
        <v>74</v>
      </c>
      <c r="Q470" t="s">
        <v>74</v>
      </c>
      <c r="R470" t="s">
        <v>74</v>
      </c>
      <c r="S470" t="s">
        <v>74</v>
      </c>
      <c r="T470" t="s">
        <v>74</v>
      </c>
      <c r="U470" t="s">
        <v>6656</v>
      </c>
      <c r="V470" t="s">
        <v>6657</v>
      </c>
      <c r="W470" t="s">
        <v>6658</v>
      </c>
      <c r="X470" t="s">
        <v>6659</v>
      </c>
      <c r="Y470" t="s">
        <v>6660</v>
      </c>
      <c r="Z470" t="s">
        <v>74</v>
      </c>
      <c r="AA470" t="s">
        <v>6661</v>
      </c>
      <c r="AB470" t="s">
        <v>4449</v>
      </c>
      <c r="AC470" t="s">
        <v>74</v>
      </c>
      <c r="AD470" t="s">
        <v>74</v>
      </c>
      <c r="AE470" t="s">
        <v>74</v>
      </c>
      <c r="AF470" t="s">
        <v>74</v>
      </c>
      <c r="AG470">
        <v>56</v>
      </c>
      <c r="AH470">
        <v>46</v>
      </c>
      <c r="AI470">
        <v>48</v>
      </c>
      <c r="AJ470">
        <v>0</v>
      </c>
      <c r="AK470">
        <v>19</v>
      </c>
      <c r="AL470" t="s">
        <v>1259</v>
      </c>
      <c r="AM470" t="s">
        <v>561</v>
      </c>
      <c r="AN470" t="s">
        <v>1260</v>
      </c>
      <c r="AO470" t="s">
        <v>4435</v>
      </c>
      <c r="AP470" t="s">
        <v>74</v>
      </c>
      <c r="AQ470" t="s">
        <v>74</v>
      </c>
      <c r="AR470" t="s">
        <v>4436</v>
      </c>
      <c r="AS470" t="s">
        <v>4437</v>
      </c>
      <c r="AT470" t="s">
        <v>5744</v>
      </c>
      <c r="AU470">
        <v>2002</v>
      </c>
      <c r="AV470">
        <v>25</v>
      </c>
      <c r="AW470">
        <v>12</v>
      </c>
      <c r="AX470" t="s">
        <v>74</v>
      </c>
      <c r="AY470" t="s">
        <v>74</v>
      </c>
      <c r="AZ470" t="s">
        <v>74</v>
      </c>
      <c r="BA470" t="s">
        <v>74</v>
      </c>
      <c r="BB470">
        <v>898</v>
      </c>
      <c r="BC470">
        <v>906</v>
      </c>
      <c r="BD470" t="s">
        <v>74</v>
      </c>
      <c r="BE470" t="s">
        <v>6662</v>
      </c>
      <c r="BF470" t="str">
        <f>HYPERLINK("http://dx.doi.org/10.1007/s00300-002-0419-2","http://dx.doi.org/10.1007/s00300-002-0419-2")</f>
        <v>http://dx.doi.org/10.1007/s00300-002-0419-2</v>
      </c>
      <c r="BG470" t="s">
        <v>74</v>
      </c>
      <c r="BH470" t="s">
        <v>74</v>
      </c>
      <c r="BI470">
        <v>9</v>
      </c>
      <c r="BJ470" t="s">
        <v>4439</v>
      </c>
      <c r="BK470" t="s">
        <v>569</v>
      </c>
      <c r="BL470" t="s">
        <v>4440</v>
      </c>
      <c r="BM470" t="s">
        <v>6652</v>
      </c>
      <c r="BN470" t="s">
        <v>74</v>
      </c>
      <c r="BO470" t="s">
        <v>74</v>
      </c>
      <c r="BP470" t="s">
        <v>74</v>
      </c>
      <c r="BQ470" t="s">
        <v>74</v>
      </c>
      <c r="BR470" t="s">
        <v>98</v>
      </c>
      <c r="BS470" t="s">
        <v>6663</v>
      </c>
      <c r="BT470" t="str">
        <f>HYPERLINK("https%3A%2F%2Fwww.webofscience.com%2Fwos%2Fwoscc%2Ffull-record%2FWOS:000179923500005","View Full Record in Web of Science")</f>
        <v>View Full Record in Web of Science</v>
      </c>
    </row>
    <row r="471" spans="1:72" x14ac:dyDescent="0.15">
      <c r="A471" t="s">
        <v>552</v>
      </c>
      <c r="B471" t="s">
        <v>6664</v>
      </c>
      <c r="C471" t="s">
        <v>74</v>
      </c>
      <c r="D471" t="s">
        <v>74</v>
      </c>
      <c r="E471" t="s">
        <v>74</v>
      </c>
      <c r="F471" t="s">
        <v>6664</v>
      </c>
      <c r="G471" t="s">
        <v>74</v>
      </c>
      <c r="H471" t="s">
        <v>74</v>
      </c>
      <c r="I471" t="s">
        <v>6665</v>
      </c>
      <c r="J471" t="s">
        <v>4431</v>
      </c>
      <c r="K471" t="s">
        <v>74</v>
      </c>
      <c r="L471" t="s">
        <v>74</v>
      </c>
      <c r="M471" t="s">
        <v>78</v>
      </c>
      <c r="N471" t="s">
        <v>775</v>
      </c>
      <c r="O471" t="s">
        <v>74</v>
      </c>
      <c r="P471" t="s">
        <v>74</v>
      </c>
      <c r="Q471" t="s">
        <v>74</v>
      </c>
      <c r="R471" t="s">
        <v>74</v>
      </c>
      <c r="S471" t="s">
        <v>74</v>
      </c>
      <c r="T471" t="s">
        <v>74</v>
      </c>
      <c r="U471" t="s">
        <v>6666</v>
      </c>
      <c r="V471" t="s">
        <v>6667</v>
      </c>
      <c r="W471" t="s">
        <v>6668</v>
      </c>
      <c r="X471" t="s">
        <v>6669</v>
      </c>
      <c r="Y471" t="s">
        <v>6670</v>
      </c>
      <c r="Z471" t="s">
        <v>6671</v>
      </c>
      <c r="AA471" t="s">
        <v>6672</v>
      </c>
      <c r="AB471" t="s">
        <v>6673</v>
      </c>
      <c r="AC471" t="s">
        <v>74</v>
      </c>
      <c r="AD471" t="s">
        <v>74</v>
      </c>
      <c r="AE471" t="s">
        <v>74</v>
      </c>
      <c r="AF471" t="s">
        <v>74</v>
      </c>
      <c r="AG471">
        <v>33</v>
      </c>
      <c r="AH471">
        <v>22</v>
      </c>
      <c r="AI471">
        <v>22</v>
      </c>
      <c r="AJ471">
        <v>0</v>
      </c>
      <c r="AK471">
        <v>6</v>
      </c>
      <c r="AL471" t="s">
        <v>1230</v>
      </c>
      <c r="AM471" t="s">
        <v>561</v>
      </c>
      <c r="AN471" t="s">
        <v>1231</v>
      </c>
      <c r="AO471" t="s">
        <v>4435</v>
      </c>
      <c r="AP471" t="s">
        <v>4450</v>
      </c>
      <c r="AQ471" t="s">
        <v>74</v>
      </c>
      <c r="AR471" t="s">
        <v>4436</v>
      </c>
      <c r="AS471" t="s">
        <v>4437</v>
      </c>
      <c r="AT471" t="s">
        <v>5744</v>
      </c>
      <c r="AU471">
        <v>2002</v>
      </c>
      <c r="AV471">
        <v>25</v>
      </c>
      <c r="AW471">
        <v>12</v>
      </c>
      <c r="AX471" t="s">
        <v>74</v>
      </c>
      <c r="AY471" t="s">
        <v>74</v>
      </c>
      <c r="AZ471" t="s">
        <v>74</v>
      </c>
      <c r="BA471" t="s">
        <v>74</v>
      </c>
      <c r="BB471">
        <v>914</v>
      </c>
      <c r="BC471">
        <v>920</v>
      </c>
      <c r="BD471" t="s">
        <v>74</v>
      </c>
      <c r="BE471" t="s">
        <v>6674</v>
      </c>
      <c r="BF471" t="str">
        <f>HYPERLINK("http://dx.doi.org/10.1007/s00300-002-0435-2","http://dx.doi.org/10.1007/s00300-002-0435-2")</f>
        <v>http://dx.doi.org/10.1007/s00300-002-0435-2</v>
      </c>
      <c r="BG471" t="s">
        <v>74</v>
      </c>
      <c r="BH471" t="s">
        <v>74</v>
      </c>
      <c r="BI471">
        <v>7</v>
      </c>
      <c r="BJ471" t="s">
        <v>4439</v>
      </c>
      <c r="BK471" t="s">
        <v>569</v>
      </c>
      <c r="BL471" t="s">
        <v>4440</v>
      </c>
      <c r="BM471" t="s">
        <v>6652</v>
      </c>
      <c r="BN471" t="s">
        <v>74</v>
      </c>
      <c r="BO471" t="s">
        <v>74</v>
      </c>
      <c r="BP471" t="s">
        <v>74</v>
      </c>
      <c r="BQ471" t="s">
        <v>74</v>
      </c>
      <c r="BR471" t="s">
        <v>98</v>
      </c>
      <c r="BS471" t="s">
        <v>6675</v>
      </c>
      <c r="BT471" t="str">
        <f>HYPERLINK("https%3A%2F%2Fwww.webofscience.com%2Fwos%2Fwoscc%2Ffull-record%2FWOS:000179923500007","View Full Record in Web of Science")</f>
        <v>View Full Record in Web of Science</v>
      </c>
    </row>
    <row r="472" spans="1:72" x14ac:dyDescent="0.15">
      <c r="A472" t="s">
        <v>552</v>
      </c>
      <c r="B472" t="s">
        <v>6676</v>
      </c>
      <c r="C472" t="s">
        <v>74</v>
      </c>
      <c r="D472" t="s">
        <v>74</v>
      </c>
      <c r="E472" t="s">
        <v>74</v>
      </c>
      <c r="F472" t="s">
        <v>6676</v>
      </c>
      <c r="G472" t="s">
        <v>74</v>
      </c>
      <c r="H472" t="s">
        <v>74</v>
      </c>
      <c r="I472" t="s">
        <v>6677</v>
      </c>
      <c r="J472" t="s">
        <v>4431</v>
      </c>
      <c r="K472" t="s">
        <v>74</v>
      </c>
      <c r="L472" t="s">
        <v>74</v>
      </c>
      <c r="M472" t="s">
        <v>78</v>
      </c>
      <c r="N472" t="s">
        <v>775</v>
      </c>
      <c r="O472" t="s">
        <v>74</v>
      </c>
      <c r="P472" t="s">
        <v>74</v>
      </c>
      <c r="Q472" t="s">
        <v>74</v>
      </c>
      <c r="R472" t="s">
        <v>74</v>
      </c>
      <c r="S472" t="s">
        <v>74</v>
      </c>
      <c r="T472" t="s">
        <v>74</v>
      </c>
      <c r="U472" t="s">
        <v>6678</v>
      </c>
      <c r="V472" t="s">
        <v>6679</v>
      </c>
      <c r="W472" t="s">
        <v>301</v>
      </c>
      <c r="X472" t="s">
        <v>302</v>
      </c>
      <c r="Y472" t="s">
        <v>321</v>
      </c>
      <c r="Z472" t="s">
        <v>74</v>
      </c>
      <c r="AA472" t="s">
        <v>6680</v>
      </c>
      <c r="AB472" t="s">
        <v>6681</v>
      </c>
      <c r="AC472" t="s">
        <v>74</v>
      </c>
      <c r="AD472" t="s">
        <v>74</v>
      </c>
      <c r="AE472" t="s">
        <v>74</v>
      </c>
      <c r="AF472" t="s">
        <v>74</v>
      </c>
      <c r="AG472">
        <v>22</v>
      </c>
      <c r="AH472">
        <v>5</v>
      </c>
      <c r="AI472">
        <v>7</v>
      </c>
      <c r="AJ472">
        <v>0</v>
      </c>
      <c r="AK472">
        <v>4</v>
      </c>
      <c r="AL472" t="s">
        <v>1259</v>
      </c>
      <c r="AM472" t="s">
        <v>561</v>
      </c>
      <c r="AN472" t="s">
        <v>1260</v>
      </c>
      <c r="AO472" t="s">
        <v>4435</v>
      </c>
      <c r="AP472" t="s">
        <v>74</v>
      </c>
      <c r="AQ472" t="s">
        <v>74</v>
      </c>
      <c r="AR472" t="s">
        <v>4436</v>
      </c>
      <c r="AS472" t="s">
        <v>4437</v>
      </c>
      <c r="AT472" t="s">
        <v>5744</v>
      </c>
      <c r="AU472">
        <v>2002</v>
      </c>
      <c r="AV472">
        <v>25</v>
      </c>
      <c r="AW472">
        <v>12</v>
      </c>
      <c r="AX472" t="s">
        <v>74</v>
      </c>
      <c r="AY472" t="s">
        <v>74</v>
      </c>
      <c r="AZ472" t="s">
        <v>74</v>
      </c>
      <c r="BA472" t="s">
        <v>74</v>
      </c>
      <c r="BB472">
        <v>921</v>
      </c>
      <c r="BC472">
        <v>927</v>
      </c>
      <c r="BD472" t="s">
        <v>74</v>
      </c>
      <c r="BE472" t="s">
        <v>6682</v>
      </c>
      <c r="BF472" t="str">
        <f>HYPERLINK("http://dx.doi.org/10.1007/s00300-002-0436-1","http://dx.doi.org/10.1007/s00300-002-0436-1")</f>
        <v>http://dx.doi.org/10.1007/s00300-002-0436-1</v>
      </c>
      <c r="BG472" t="s">
        <v>74</v>
      </c>
      <c r="BH472" t="s">
        <v>74</v>
      </c>
      <c r="BI472">
        <v>7</v>
      </c>
      <c r="BJ472" t="s">
        <v>4439</v>
      </c>
      <c r="BK472" t="s">
        <v>569</v>
      </c>
      <c r="BL472" t="s">
        <v>4440</v>
      </c>
      <c r="BM472" t="s">
        <v>6652</v>
      </c>
      <c r="BN472" t="s">
        <v>74</v>
      </c>
      <c r="BO472" t="s">
        <v>74</v>
      </c>
      <c r="BP472" t="s">
        <v>74</v>
      </c>
      <c r="BQ472" t="s">
        <v>74</v>
      </c>
      <c r="BR472" t="s">
        <v>98</v>
      </c>
      <c r="BS472" t="s">
        <v>6683</v>
      </c>
      <c r="BT472" t="str">
        <f>HYPERLINK("https%3A%2F%2Fwww.webofscience.com%2Fwos%2Fwoscc%2Ffull-record%2FWOS:000179923500008","View Full Record in Web of Science")</f>
        <v>View Full Record in Web of Science</v>
      </c>
    </row>
    <row r="473" spans="1:72" x14ac:dyDescent="0.15">
      <c r="A473" t="s">
        <v>552</v>
      </c>
      <c r="B473" t="s">
        <v>2906</v>
      </c>
      <c r="C473" t="s">
        <v>74</v>
      </c>
      <c r="D473" t="s">
        <v>74</v>
      </c>
      <c r="E473" t="s">
        <v>74</v>
      </c>
      <c r="F473" t="s">
        <v>2906</v>
      </c>
      <c r="G473" t="s">
        <v>74</v>
      </c>
      <c r="H473" t="s">
        <v>74</v>
      </c>
      <c r="I473" t="s">
        <v>6684</v>
      </c>
      <c r="J473" t="s">
        <v>4431</v>
      </c>
      <c r="K473" t="s">
        <v>74</v>
      </c>
      <c r="L473" t="s">
        <v>74</v>
      </c>
      <c r="M473" t="s">
        <v>78</v>
      </c>
      <c r="N473" t="s">
        <v>775</v>
      </c>
      <c r="O473" t="s">
        <v>74</v>
      </c>
      <c r="P473" t="s">
        <v>74</v>
      </c>
      <c r="Q473" t="s">
        <v>74</v>
      </c>
      <c r="R473" t="s">
        <v>74</v>
      </c>
      <c r="S473" t="s">
        <v>74</v>
      </c>
      <c r="T473" t="s">
        <v>74</v>
      </c>
      <c r="U473" t="s">
        <v>6685</v>
      </c>
      <c r="V473" t="s">
        <v>6686</v>
      </c>
      <c r="W473" t="s">
        <v>6687</v>
      </c>
      <c r="X473" t="s">
        <v>2913</v>
      </c>
      <c r="Y473" t="s">
        <v>6688</v>
      </c>
      <c r="Z473" t="s">
        <v>74</v>
      </c>
      <c r="AA473" t="s">
        <v>6689</v>
      </c>
      <c r="AB473" t="s">
        <v>2917</v>
      </c>
      <c r="AC473" t="s">
        <v>74</v>
      </c>
      <c r="AD473" t="s">
        <v>74</v>
      </c>
      <c r="AE473" t="s">
        <v>74</v>
      </c>
      <c r="AF473" t="s">
        <v>74</v>
      </c>
      <c r="AG473">
        <v>28</v>
      </c>
      <c r="AH473">
        <v>15</v>
      </c>
      <c r="AI473">
        <v>19</v>
      </c>
      <c r="AJ473">
        <v>0</v>
      </c>
      <c r="AK473">
        <v>18</v>
      </c>
      <c r="AL473" t="s">
        <v>1259</v>
      </c>
      <c r="AM473" t="s">
        <v>561</v>
      </c>
      <c r="AN473" t="s">
        <v>1260</v>
      </c>
      <c r="AO473" t="s">
        <v>4435</v>
      </c>
      <c r="AP473" t="s">
        <v>74</v>
      </c>
      <c r="AQ473" t="s">
        <v>74</v>
      </c>
      <c r="AR473" t="s">
        <v>4436</v>
      </c>
      <c r="AS473" t="s">
        <v>4437</v>
      </c>
      <c r="AT473" t="s">
        <v>5744</v>
      </c>
      <c r="AU473">
        <v>2002</v>
      </c>
      <c r="AV473">
        <v>25</v>
      </c>
      <c r="AW473">
        <v>12</v>
      </c>
      <c r="AX473" t="s">
        <v>74</v>
      </c>
      <c r="AY473" t="s">
        <v>74</v>
      </c>
      <c r="AZ473" t="s">
        <v>74</v>
      </c>
      <c r="BA473" t="s">
        <v>74</v>
      </c>
      <c r="BB473">
        <v>928</v>
      </c>
      <c r="BC473">
        <v>933</v>
      </c>
      <c r="BD473" t="s">
        <v>74</v>
      </c>
      <c r="BE473" t="s">
        <v>6690</v>
      </c>
      <c r="BF473" t="str">
        <f>HYPERLINK("http://dx.doi.org/10.1007/s00300-002-0433-4","http://dx.doi.org/10.1007/s00300-002-0433-4")</f>
        <v>http://dx.doi.org/10.1007/s00300-002-0433-4</v>
      </c>
      <c r="BG473" t="s">
        <v>74</v>
      </c>
      <c r="BH473" t="s">
        <v>74</v>
      </c>
      <c r="BI473">
        <v>6</v>
      </c>
      <c r="BJ473" t="s">
        <v>4439</v>
      </c>
      <c r="BK473" t="s">
        <v>569</v>
      </c>
      <c r="BL473" t="s">
        <v>4440</v>
      </c>
      <c r="BM473" t="s">
        <v>6652</v>
      </c>
      <c r="BN473" t="s">
        <v>74</v>
      </c>
      <c r="BO473" t="s">
        <v>74</v>
      </c>
      <c r="BP473" t="s">
        <v>74</v>
      </c>
      <c r="BQ473" t="s">
        <v>74</v>
      </c>
      <c r="BR473" t="s">
        <v>98</v>
      </c>
      <c r="BS473" t="s">
        <v>6691</v>
      </c>
      <c r="BT473" t="str">
        <f>HYPERLINK("https%3A%2F%2Fwww.webofscience.com%2Fwos%2Fwoscc%2Ffull-record%2FWOS:000179923500009","View Full Record in Web of Science")</f>
        <v>View Full Record in Web of Science</v>
      </c>
    </row>
    <row r="474" spans="1:72" x14ac:dyDescent="0.15">
      <c r="A474" t="s">
        <v>552</v>
      </c>
      <c r="B474" t="s">
        <v>6692</v>
      </c>
      <c r="C474" t="s">
        <v>74</v>
      </c>
      <c r="D474" t="s">
        <v>74</v>
      </c>
      <c r="E474" t="s">
        <v>74</v>
      </c>
      <c r="F474" t="s">
        <v>6692</v>
      </c>
      <c r="G474" t="s">
        <v>74</v>
      </c>
      <c r="H474" t="s">
        <v>74</v>
      </c>
      <c r="I474" t="s">
        <v>6693</v>
      </c>
      <c r="J474" t="s">
        <v>4431</v>
      </c>
      <c r="K474" t="s">
        <v>74</v>
      </c>
      <c r="L474" t="s">
        <v>74</v>
      </c>
      <c r="M474" t="s">
        <v>78</v>
      </c>
      <c r="N474" t="s">
        <v>775</v>
      </c>
      <c r="O474" t="s">
        <v>74</v>
      </c>
      <c r="P474" t="s">
        <v>74</v>
      </c>
      <c r="Q474" t="s">
        <v>74</v>
      </c>
      <c r="R474" t="s">
        <v>74</v>
      </c>
      <c r="S474" t="s">
        <v>74</v>
      </c>
      <c r="T474" t="s">
        <v>74</v>
      </c>
      <c r="U474" t="s">
        <v>6694</v>
      </c>
      <c r="V474" t="s">
        <v>6695</v>
      </c>
      <c r="W474" t="s">
        <v>6696</v>
      </c>
      <c r="X474" t="s">
        <v>6697</v>
      </c>
      <c r="Y474" t="s">
        <v>6698</v>
      </c>
      <c r="Z474" t="s">
        <v>74</v>
      </c>
      <c r="AA474" t="s">
        <v>6699</v>
      </c>
      <c r="AB474" t="s">
        <v>6700</v>
      </c>
      <c r="AC474" t="s">
        <v>74</v>
      </c>
      <c r="AD474" t="s">
        <v>74</v>
      </c>
      <c r="AE474" t="s">
        <v>74</v>
      </c>
      <c r="AF474" t="s">
        <v>74</v>
      </c>
      <c r="AG474">
        <v>35</v>
      </c>
      <c r="AH474">
        <v>36</v>
      </c>
      <c r="AI474">
        <v>39</v>
      </c>
      <c r="AJ474">
        <v>1</v>
      </c>
      <c r="AK474">
        <v>14</v>
      </c>
      <c r="AL474" t="s">
        <v>1259</v>
      </c>
      <c r="AM474" t="s">
        <v>561</v>
      </c>
      <c r="AN474" t="s">
        <v>1260</v>
      </c>
      <c r="AO474" t="s">
        <v>4435</v>
      </c>
      <c r="AP474" t="s">
        <v>74</v>
      </c>
      <c r="AQ474" t="s">
        <v>74</v>
      </c>
      <c r="AR474" t="s">
        <v>4436</v>
      </c>
      <c r="AS474" t="s">
        <v>4437</v>
      </c>
      <c r="AT474" t="s">
        <v>5744</v>
      </c>
      <c r="AU474">
        <v>2002</v>
      </c>
      <c r="AV474">
        <v>25</v>
      </c>
      <c r="AW474">
        <v>12</v>
      </c>
      <c r="AX474" t="s">
        <v>74</v>
      </c>
      <c r="AY474" t="s">
        <v>74</v>
      </c>
      <c r="AZ474" t="s">
        <v>74</v>
      </c>
      <c r="BA474" t="s">
        <v>74</v>
      </c>
      <c r="BB474">
        <v>934</v>
      </c>
      <c r="BC474">
        <v>938</v>
      </c>
      <c r="BD474" t="s">
        <v>74</v>
      </c>
      <c r="BE474" t="s">
        <v>6701</v>
      </c>
      <c r="BF474" t="str">
        <f>HYPERLINK("http://dx.doi.org/10.1007/s00300-002-0434-3","http://dx.doi.org/10.1007/s00300-002-0434-3")</f>
        <v>http://dx.doi.org/10.1007/s00300-002-0434-3</v>
      </c>
      <c r="BG474" t="s">
        <v>74</v>
      </c>
      <c r="BH474" t="s">
        <v>74</v>
      </c>
      <c r="BI474">
        <v>5</v>
      </c>
      <c r="BJ474" t="s">
        <v>4439</v>
      </c>
      <c r="BK474" t="s">
        <v>569</v>
      </c>
      <c r="BL474" t="s">
        <v>4440</v>
      </c>
      <c r="BM474" t="s">
        <v>6652</v>
      </c>
      <c r="BN474" t="s">
        <v>74</v>
      </c>
      <c r="BO474" t="s">
        <v>74</v>
      </c>
      <c r="BP474" t="s">
        <v>74</v>
      </c>
      <c r="BQ474" t="s">
        <v>74</v>
      </c>
      <c r="BR474" t="s">
        <v>98</v>
      </c>
      <c r="BS474" t="s">
        <v>6702</v>
      </c>
      <c r="BT474" t="str">
        <f>HYPERLINK("https%3A%2F%2Fwww.webofscience.com%2Fwos%2Fwoscc%2Ffull-record%2FWOS:000179923500010","View Full Record in Web of Science")</f>
        <v>View Full Record in Web of Science</v>
      </c>
    </row>
    <row r="475" spans="1:72" x14ac:dyDescent="0.15">
      <c r="A475" t="s">
        <v>552</v>
      </c>
      <c r="B475" t="s">
        <v>6703</v>
      </c>
      <c r="C475" t="s">
        <v>74</v>
      </c>
      <c r="D475" t="s">
        <v>74</v>
      </c>
      <c r="E475" t="s">
        <v>74</v>
      </c>
      <c r="F475" t="s">
        <v>6703</v>
      </c>
      <c r="G475" t="s">
        <v>74</v>
      </c>
      <c r="H475" t="s">
        <v>74</v>
      </c>
      <c r="I475" t="s">
        <v>6704</v>
      </c>
      <c r="J475" t="s">
        <v>6705</v>
      </c>
      <c r="K475" t="s">
        <v>74</v>
      </c>
      <c r="L475" t="s">
        <v>74</v>
      </c>
      <c r="M475" t="s">
        <v>78</v>
      </c>
      <c r="N475" t="s">
        <v>775</v>
      </c>
      <c r="O475" t="s">
        <v>74</v>
      </c>
      <c r="P475" t="s">
        <v>74</v>
      </c>
      <c r="Q475" t="s">
        <v>74</v>
      </c>
      <c r="R475" t="s">
        <v>74</v>
      </c>
      <c r="S475" t="s">
        <v>74</v>
      </c>
      <c r="T475" t="s">
        <v>74</v>
      </c>
      <c r="U475" t="s">
        <v>6706</v>
      </c>
      <c r="V475" t="s">
        <v>6707</v>
      </c>
      <c r="W475" t="s">
        <v>6708</v>
      </c>
      <c r="X475" t="s">
        <v>6709</v>
      </c>
      <c r="Y475" t="s">
        <v>6710</v>
      </c>
      <c r="Z475" t="s">
        <v>74</v>
      </c>
      <c r="AA475" t="s">
        <v>74</v>
      </c>
      <c r="AB475" t="s">
        <v>74</v>
      </c>
      <c r="AC475" t="s">
        <v>74</v>
      </c>
      <c r="AD475" t="s">
        <v>74</v>
      </c>
      <c r="AE475" t="s">
        <v>74</v>
      </c>
      <c r="AF475" t="s">
        <v>74</v>
      </c>
      <c r="AG475">
        <v>24</v>
      </c>
      <c r="AH475">
        <v>17</v>
      </c>
      <c r="AI475">
        <v>18</v>
      </c>
      <c r="AJ475">
        <v>0</v>
      </c>
      <c r="AK475">
        <v>9</v>
      </c>
      <c r="AL475" t="s">
        <v>1259</v>
      </c>
      <c r="AM475" t="s">
        <v>561</v>
      </c>
      <c r="AN475" t="s">
        <v>1260</v>
      </c>
      <c r="AO475" t="s">
        <v>6711</v>
      </c>
      <c r="AP475" t="s">
        <v>74</v>
      </c>
      <c r="AQ475" t="s">
        <v>74</v>
      </c>
      <c r="AR475" t="s">
        <v>6712</v>
      </c>
      <c r="AS475" t="s">
        <v>6713</v>
      </c>
      <c r="AT475" t="s">
        <v>5744</v>
      </c>
      <c r="AU475">
        <v>2002</v>
      </c>
      <c r="AV475">
        <v>41</v>
      </c>
      <c r="AW475">
        <v>4</v>
      </c>
      <c r="AX475" t="s">
        <v>74</v>
      </c>
      <c r="AY475" t="s">
        <v>74</v>
      </c>
      <c r="AZ475" t="s">
        <v>74</v>
      </c>
      <c r="BA475" t="s">
        <v>74</v>
      </c>
      <c r="BB475">
        <v>295</v>
      </c>
      <c r="BC475">
        <v>302</v>
      </c>
      <c r="BD475" t="s">
        <v>74</v>
      </c>
      <c r="BE475" t="s">
        <v>6714</v>
      </c>
      <c r="BF475" t="str">
        <f>HYPERLINK("http://dx.doi.org/10.1007/s00411-002-0169-0","http://dx.doi.org/10.1007/s00411-002-0169-0")</f>
        <v>http://dx.doi.org/10.1007/s00411-002-0169-0</v>
      </c>
      <c r="BG475" t="s">
        <v>74</v>
      </c>
      <c r="BH475" t="s">
        <v>74</v>
      </c>
      <c r="BI475">
        <v>8</v>
      </c>
      <c r="BJ475" t="s">
        <v>6715</v>
      </c>
      <c r="BK475" t="s">
        <v>569</v>
      </c>
      <c r="BL475" t="s">
        <v>6716</v>
      </c>
      <c r="BM475" t="s">
        <v>6717</v>
      </c>
      <c r="BN475">
        <v>12541076</v>
      </c>
      <c r="BO475" t="s">
        <v>74</v>
      </c>
      <c r="BP475" t="s">
        <v>74</v>
      </c>
      <c r="BQ475" t="s">
        <v>74</v>
      </c>
      <c r="BR475" t="s">
        <v>98</v>
      </c>
      <c r="BS475" t="s">
        <v>6718</v>
      </c>
      <c r="BT475" t="str">
        <f>HYPERLINK("https%3A%2F%2Fwww.webofscience.com%2Fwos%2Fwoscc%2Ffull-record%2FWOS:000181198900007","View Full Record in Web of Science")</f>
        <v>View Full Record in Web of Science</v>
      </c>
    </row>
    <row r="476" spans="1:72" x14ac:dyDescent="0.15">
      <c r="A476" t="s">
        <v>552</v>
      </c>
      <c r="B476" t="s">
        <v>6719</v>
      </c>
      <c r="C476" t="s">
        <v>74</v>
      </c>
      <c r="D476" t="s">
        <v>74</v>
      </c>
      <c r="E476" t="s">
        <v>74</v>
      </c>
      <c r="F476" t="s">
        <v>6719</v>
      </c>
      <c r="G476" t="s">
        <v>74</v>
      </c>
      <c r="H476" t="s">
        <v>74</v>
      </c>
      <c r="I476" t="s">
        <v>6720</v>
      </c>
      <c r="J476" t="s">
        <v>6721</v>
      </c>
      <c r="K476" t="s">
        <v>74</v>
      </c>
      <c r="L476" t="s">
        <v>74</v>
      </c>
      <c r="M476" t="s">
        <v>78</v>
      </c>
      <c r="N476" t="s">
        <v>775</v>
      </c>
      <c r="O476" t="s">
        <v>74</v>
      </c>
      <c r="P476" t="s">
        <v>74</v>
      </c>
      <c r="Q476" t="s">
        <v>74</v>
      </c>
      <c r="R476" t="s">
        <v>74</v>
      </c>
      <c r="S476" t="s">
        <v>74</v>
      </c>
      <c r="T476" t="s">
        <v>6722</v>
      </c>
      <c r="U476" t="s">
        <v>6723</v>
      </c>
      <c r="V476" t="s">
        <v>6724</v>
      </c>
      <c r="W476" t="s">
        <v>6725</v>
      </c>
      <c r="X476" t="s">
        <v>6726</v>
      </c>
      <c r="Y476" t="s">
        <v>6727</v>
      </c>
      <c r="Z476" t="s">
        <v>74</v>
      </c>
      <c r="AA476" t="s">
        <v>6728</v>
      </c>
      <c r="AB476" t="s">
        <v>6729</v>
      </c>
      <c r="AC476" t="s">
        <v>74</v>
      </c>
      <c r="AD476" t="s">
        <v>74</v>
      </c>
      <c r="AE476" t="s">
        <v>74</v>
      </c>
      <c r="AF476" t="s">
        <v>74</v>
      </c>
      <c r="AG476">
        <v>33</v>
      </c>
      <c r="AH476">
        <v>17</v>
      </c>
      <c r="AI476">
        <v>20</v>
      </c>
      <c r="AJ476">
        <v>0</v>
      </c>
      <c r="AK476">
        <v>4</v>
      </c>
      <c r="AL476" t="s">
        <v>6730</v>
      </c>
      <c r="AM476" t="s">
        <v>6731</v>
      </c>
      <c r="AN476" t="s">
        <v>6732</v>
      </c>
      <c r="AO476" t="s">
        <v>6733</v>
      </c>
      <c r="AP476" t="s">
        <v>74</v>
      </c>
      <c r="AQ476" t="s">
        <v>74</v>
      </c>
      <c r="AR476" t="s">
        <v>6734</v>
      </c>
      <c r="AS476" t="s">
        <v>6735</v>
      </c>
      <c r="AT476" t="s">
        <v>5744</v>
      </c>
      <c r="AU476">
        <v>2002</v>
      </c>
      <c r="AV476">
        <v>66</v>
      </c>
      <c r="AW476">
        <v>4</v>
      </c>
      <c r="AX476" t="s">
        <v>74</v>
      </c>
      <c r="AY476" t="s">
        <v>74</v>
      </c>
      <c r="AZ476" t="s">
        <v>74</v>
      </c>
      <c r="BA476" t="s">
        <v>74</v>
      </c>
      <c r="BB476">
        <v>383</v>
      </c>
      <c r="BC476">
        <v>397</v>
      </c>
      <c r="BD476" t="s">
        <v>74</v>
      </c>
      <c r="BE476" t="s">
        <v>6736</v>
      </c>
      <c r="BF476" t="str">
        <f>HYPERLINK("http://dx.doi.org/10.3989/scimar.2002.66n4383","http://dx.doi.org/10.3989/scimar.2002.66n4383")</f>
        <v>http://dx.doi.org/10.3989/scimar.2002.66n4383</v>
      </c>
      <c r="BG476" t="s">
        <v>74</v>
      </c>
      <c r="BH476" t="s">
        <v>74</v>
      </c>
      <c r="BI476">
        <v>15</v>
      </c>
      <c r="BJ476" t="s">
        <v>989</v>
      </c>
      <c r="BK476" t="s">
        <v>569</v>
      </c>
      <c r="BL476" t="s">
        <v>989</v>
      </c>
      <c r="BM476" t="s">
        <v>6737</v>
      </c>
      <c r="BN476" t="s">
        <v>74</v>
      </c>
      <c r="BO476" t="s">
        <v>6738</v>
      </c>
      <c r="BP476" t="s">
        <v>74</v>
      </c>
      <c r="BQ476" t="s">
        <v>74</v>
      </c>
      <c r="BR476" t="s">
        <v>98</v>
      </c>
      <c r="BS476" t="s">
        <v>6739</v>
      </c>
      <c r="BT476" t="str">
        <f>HYPERLINK("https%3A%2F%2Fwww.webofscience.com%2Fwos%2Fwoscc%2Ffull-record%2FWOS:000180251900007","View Full Record in Web of Science")</f>
        <v>View Full Record in Web of Science</v>
      </c>
    </row>
    <row r="477" spans="1:72" x14ac:dyDescent="0.15">
      <c r="A477" t="s">
        <v>552</v>
      </c>
      <c r="B477" t="s">
        <v>6740</v>
      </c>
      <c r="C477" t="s">
        <v>74</v>
      </c>
      <c r="D477" t="s">
        <v>74</v>
      </c>
      <c r="E477" t="s">
        <v>74</v>
      </c>
      <c r="F477" t="s">
        <v>6740</v>
      </c>
      <c r="G477" t="s">
        <v>74</v>
      </c>
      <c r="H477" t="s">
        <v>74</v>
      </c>
      <c r="I477" t="s">
        <v>6741</v>
      </c>
      <c r="J477" t="s">
        <v>6721</v>
      </c>
      <c r="K477" t="s">
        <v>74</v>
      </c>
      <c r="L477" t="s">
        <v>74</v>
      </c>
      <c r="M477" t="s">
        <v>78</v>
      </c>
      <c r="N477" t="s">
        <v>1792</v>
      </c>
      <c r="O477" t="s">
        <v>74</v>
      </c>
      <c r="P477" t="s">
        <v>74</v>
      </c>
      <c r="Q477" t="s">
        <v>74</v>
      </c>
      <c r="R477" t="s">
        <v>74</v>
      </c>
      <c r="S477" t="s">
        <v>74</v>
      </c>
      <c r="T477" t="s">
        <v>74</v>
      </c>
      <c r="U477" t="s">
        <v>74</v>
      </c>
      <c r="V477" t="s">
        <v>74</v>
      </c>
      <c r="W477" t="s">
        <v>6742</v>
      </c>
      <c r="X477" t="s">
        <v>6743</v>
      </c>
      <c r="Y477" t="s">
        <v>6744</v>
      </c>
      <c r="Z477" t="s">
        <v>74</v>
      </c>
      <c r="AA477" t="s">
        <v>6745</v>
      </c>
      <c r="AB477" t="s">
        <v>6746</v>
      </c>
      <c r="AC477" t="s">
        <v>74</v>
      </c>
      <c r="AD477" t="s">
        <v>74</v>
      </c>
      <c r="AE477" t="s">
        <v>74</v>
      </c>
      <c r="AF477" t="s">
        <v>74</v>
      </c>
      <c r="AG477">
        <v>1</v>
      </c>
      <c r="AH477">
        <v>0</v>
      </c>
      <c r="AI477">
        <v>0</v>
      </c>
      <c r="AJ477">
        <v>0</v>
      </c>
      <c r="AK477">
        <v>5</v>
      </c>
      <c r="AL477" t="s">
        <v>6730</v>
      </c>
      <c r="AM477" t="s">
        <v>6731</v>
      </c>
      <c r="AN477" t="s">
        <v>6732</v>
      </c>
      <c r="AO477" t="s">
        <v>6733</v>
      </c>
      <c r="AP477" t="s">
        <v>74</v>
      </c>
      <c r="AQ477" t="s">
        <v>74</v>
      </c>
      <c r="AR477" t="s">
        <v>6734</v>
      </c>
      <c r="AS477" t="s">
        <v>6735</v>
      </c>
      <c r="AT477" t="s">
        <v>5744</v>
      </c>
      <c r="AU477">
        <v>2002</v>
      </c>
      <c r="AV477">
        <v>66</v>
      </c>
      <c r="AW477">
        <v>4</v>
      </c>
      <c r="AX477" t="s">
        <v>74</v>
      </c>
      <c r="AY477" t="s">
        <v>74</v>
      </c>
      <c r="AZ477" t="s">
        <v>74</v>
      </c>
      <c r="BA477" t="s">
        <v>74</v>
      </c>
      <c r="BB477">
        <v>443</v>
      </c>
      <c r="BC477">
        <v>443</v>
      </c>
      <c r="BD477" t="s">
        <v>74</v>
      </c>
      <c r="BE477" t="s">
        <v>74</v>
      </c>
      <c r="BF477" t="s">
        <v>74</v>
      </c>
      <c r="BG477" t="s">
        <v>74</v>
      </c>
      <c r="BH477" t="s">
        <v>74</v>
      </c>
      <c r="BI477">
        <v>1</v>
      </c>
      <c r="BJ477" t="s">
        <v>989</v>
      </c>
      <c r="BK477" t="s">
        <v>569</v>
      </c>
      <c r="BL477" t="s">
        <v>989</v>
      </c>
      <c r="BM477" t="s">
        <v>6737</v>
      </c>
      <c r="BN477" t="s">
        <v>74</v>
      </c>
      <c r="BO477" t="s">
        <v>74</v>
      </c>
      <c r="BP477" t="s">
        <v>74</v>
      </c>
      <c r="BQ477" t="s">
        <v>74</v>
      </c>
      <c r="BR477" t="s">
        <v>98</v>
      </c>
      <c r="BS477" t="s">
        <v>6747</v>
      </c>
      <c r="BT477" t="str">
        <f>HYPERLINK("https%3A%2F%2Fwww.webofscience.com%2Fwos%2Fwoscc%2Ffull-record%2FWOS:000180251900013","View Full Record in Web of Science")</f>
        <v>View Full Record in Web of Science</v>
      </c>
    </row>
    <row r="478" spans="1:72" x14ac:dyDescent="0.15">
      <c r="A478" t="s">
        <v>552</v>
      </c>
      <c r="B478" t="s">
        <v>6748</v>
      </c>
      <c r="C478" t="s">
        <v>74</v>
      </c>
      <c r="D478" t="s">
        <v>74</v>
      </c>
      <c r="E478" t="s">
        <v>74</v>
      </c>
      <c r="F478" t="s">
        <v>6748</v>
      </c>
      <c r="G478" t="s">
        <v>74</v>
      </c>
      <c r="H478" t="s">
        <v>74</v>
      </c>
      <c r="I478" t="s">
        <v>6749</v>
      </c>
      <c r="J478" t="s">
        <v>6750</v>
      </c>
      <c r="K478" t="s">
        <v>74</v>
      </c>
      <c r="L478" t="s">
        <v>74</v>
      </c>
      <c r="M478" t="s">
        <v>78</v>
      </c>
      <c r="N478" t="s">
        <v>775</v>
      </c>
      <c r="O478" t="s">
        <v>74</v>
      </c>
      <c r="P478" t="s">
        <v>74</v>
      </c>
      <c r="Q478" t="s">
        <v>74</v>
      </c>
      <c r="R478" t="s">
        <v>74</v>
      </c>
      <c r="S478" t="s">
        <v>74</v>
      </c>
      <c r="T478" t="s">
        <v>6751</v>
      </c>
      <c r="U478" t="s">
        <v>6752</v>
      </c>
      <c r="V478" t="s">
        <v>6753</v>
      </c>
      <c r="W478" t="s">
        <v>6754</v>
      </c>
      <c r="X478" t="s">
        <v>6755</v>
      </c>
      <c r="Y478" t="s">
        <v>6756</v>
      </c>
      <c r="Z478" t="s">
        <v>74</v>
      </c>
      <c r="AA478" t="s">
        <v>6757</v>
      </c>
      <c r="AB478" t="s">
        <v>6758</v>
      </c>
      <c r="AC478" t="s">
        <v>74</v>
      </c>
      <c r="AD478" t="s">
        <v>74</v>
      </c>
      <c r="AE478" t="s">
        <v>74</v>
      </c>
      <c r="AF478" t="s">
        <v>74</v>
      </c>
      <c r="AG478">
        <v>25</v>
      </c>
      <c r="AH478">
        <v>103</v>
      </c>
      <c r="AI478">
        <v>115</v>
      </c>
      <c r="AJ478">
        <v>1</v>
      </c>
      <c r="AK478">
        <v>15</v>
      </c>
      <c r="AL478" t="s">
        <v>2131</v>
      </c>
      <c r="AM478" t="s">
        <v>2132</v>
      </c>
      <c r="AN478" t="s">
        <v>2133</v>
      </c>
      <c r="AO478" t="s">
        <v>6759</v>
      </c>
      <c r="AP478" t="s">
        <v>74</v>
      </c>
      <c r="AQ478" t="s">
        <v>74</v>
      </c>
      <c r="AR478" t="s">
        <v>6760</v>
      </c>
      <c r="AS478" t="s">
        <v>6761</v>
      </c>
      <c r="AT478" t="s">
        <v>5744</v>
      </c>
      <c r="AU478">
        <v>2002</v>
      </c>
      <c r="AV478">
        <v>25</v>
      </c>
      <c r="AW478">
        <v>4</v>
      </c>
      <c r="AX478" t="s">
        <v>74</v>
      </c>
      <c r="AY478" t="s">
        <v>74</v>
      </c>
      <c r="AZ478" t="s">
        <v>74</v>
      </c>
      <c r="BA478" t="s">
        <v>74</v>
      </c>
      <c r="BB478">
        <v>603</v>
      </c>
      <c r="BC478">
        <v>610</v>
      </c>
      <c r="BD478" t="s">
        <v>74</v>
      </c>
      <c r="BE478" t="s">
        <v>6762</v>
      </c>
      <c r="BF478" t="str">
        <f>HYPERLINK("http://dx.doi.org/10.1078/07232020260517742","http://dx.doi.org/10.1078/07232020260517742")</f>
        <v>http://dx.doi.org/10.1078/07232020260517742</v>
      </c>
      <c r="BG478" t="s">
        <v>74</v>
      </c>
      <c r="BH478" t="s">
        <v>74</v>
      </c>
      <c r="BI478">
        <v>8</v>
      </c>
      <c r="BJ478" t="s">
        <v>2587</v>
      </c>
      <c r="BK478" t="s">
        <v>569</v>
      </c>
      <c r="BL478" t="s">
        <v>2587</v>
      </c>
      <c r="BM478" t="s">
        <v>6763</v>
      </c>
      <c r="BN478">
        <v>12583721</v>
      </c>
      <c r="BO478" t="s">
        <v>74</v>
      </c>
      <c r="BP478" t="s">
        <v>74</v>
      </c>
      <c r="BQ478" t="s">
        <v>74</v>
      </c>
      <c r="BR478" t="s">
        <v>98</v>
      </c>
      <c r="BS478" t="s">
        <v>6764</v>
      </c>
      <c r="BT478" t="str">
        <f>HYPERLINK("https%3A%2F%2Fwww.webofscience.com%2Fwos%2Fwoscc%2Ffull-record%2FWOS:000180787600017","View Full Record in Web of Science")</f>
        <v>View Full Record in Web of Science</v>
      </c>
    </row>
    <row r="479" spans="1:72" x14ac:dyDescent="0.15">
      <c r="A479" t="s">
        <v>552</v>
      </c>
      <c r="B479" t="s">
        <v>6765</v>
      </c>
      <c r="C479" t="s">
        <v>74</v>
      </c>
      <c r="D479" t="s">
        <v>74</v>
      </c>
      <c r="E479" t="s">
        <v>74</v>
      </c>
      <c r="F479" t="s">
        <v>6765</v>
      </c>
      <c r="G479" t="s">
        <v>74</v>
      </c>
      <c r="H479" t="s">
        <v>74</v>
      </c>
      <c r="I479" t="s">
        <v>6766</v>
      </c>
      <c r="J479" t="s">
        <v>6767</v>
      </c>
      <c r="K479" t="s">
        <v>74</v>
      </c>
      <c r="L479" t="s">
        <v>74</v>
      </c>
      <c r="M479" t="s">
        <v>78</v>
      </c>
      <c r="N479" t="s">
        <v>775</v>
      </c>
      <c r="O479" t="s">
        <v>74</v>
      </c>
      <c r="P479" t="s">
        <v>74</v>
      </c>
      <c r="Q479" t="s">
        <v>74</v>
      </c>
      <c r="R479" t="s">
        <v>74</v>
      </c>
      <c r="S479" t="s">
        <v>74</v>
      </c>
      <c r="T479" t="s">
        <v>6768</v>
      </c>
      <c r="U479" t="s">
        <v>6769</v>
      </c>
      <c r="V479" t="s">
        <v>6770</v>
      </c>
      <c r="W479" t="s">
        <v>6771</v>
      </c>
      <c r="X479" t="s">
        <v>6772</v>
      </c>
      <c r="Y479" t="s">
        <v>6773</v>
      </c>
      <c r="Z479" t="s">
        <v>74</v>
      </c>
      <c r="AA479" t="s">
        <v>6774</v>
      </c>
      <c r="AB479" t="s">
        <v>6775</v>
      </c>
      <c r="AC479" t="s">
        <v>74</v>
      </c>
      <c r="AD479" t="s">
        <v>74</v>
      </c>
      <c r="AE479" t="s">
        <v>74</v>
      </c>
      <c r="AF479" t="s">
        <v>74</v>
      </c>
      <c r="AG479">
        <v>26</v>
      </c>
      <c r="AH479">
        <v>10</v>
      </c>
      <c r="AI479">
        <v>12</v>
      </c>
      <c r="AJ479">
        <v>0</v>
      </c>
      <c r="AK479">
        <v>8</v>
      </c>
      <c r="AL479" t="s">
        <v>4897</v>
      </c>
      <c r="AM479" t="s">
        <v>4898</v>
      </c>
      <c r="AN479" t="s">
        <v>4899</v>
      </c>
      <c r="AO479" t="s">
        <v>6776</v>
      </c>
      <c r="AP479" t="s">
        <v>74</v>
      </c>
      <c r="AQ479" t="s">
        <v>74</v>
      </c>
      <c r="AR479" t="s">
        <v>6767</v>
      </c>
      <c r="AS479" t="s">
        <v>6777</v>
      </c>
      <c r="AT479" t="s">
        <v>5744</v>
      </c>
      <c r="AU479">
        <v>2002</v>
      </c>
      <c r="AV479">
        <v>60</v>
      </c>
      <c r="AW479">
        <v>6</v>
      </c>
      <c r="AX479" t="s">
        <v>74</v>
      </c>
      <c r="AY479" t="s">
        <v>74</v>
      </c>
      <c r="AZ479" t="s">
        <v>74</v>
      </c>
      <c r="BA479" t="s">
        <v>74</v>
      </c>
      <c r="BB479">
        <v>534</v>
      </c>
      <c r="BC479">
        <v>538</v>
      </c>
      <c r="BD479" t="s">
        <v>74</v>
      </c>
      <c r="BE479" t="s">
        <v>6778</v>
      </c>
      <c r="BF479" t="str">
        <f>HYPERLINK("http://dx.doi.org/10.1034/j.1399-0039.2002.600610.x","http://dx.doi.org/10.1034/j.1399-0039.2002.600610.x")</f>
        <v>http://dx.doi.org/10.1034/j.1399-0039.2002.600610.x</v>
      </c>
      <c r="BG479" t="s">
        <v>74</v>
      </c>
      <c r="BH479" t="s">
        <v>74</v>
      </c>
      <c r="BI479">
        <v>5</v>
      </c>
      <c r="BJ479" t="s">
        <v>6779</v>
      </c>
      <c r="BK479" t="s">
        <v>569</v>
      </c>
      <c r="BL479" t="s">
        <v>6779</v>
      </c>
      <c r="BM479" t="s">
        <v>6780</v>
      </c>
      <c r="BN479">
        <v>12542748</v>
      </c>
      <c r="BO479" t="s">
        <v>74</v>
      </c>
      <c r="BP479" t="s">
        <v>74</v>
      </c>
      <c r="BQ479" t="s">
        <v>74</v>
      </c>
      <c r="BR479" t="s">
        <v>98</v>
      </c>
      <c r="BS479" t="s">
        <v>6781</v>
      </c>
      <c r="BT479" t="str">
        <f>HYPERLINK("https%3A%2F%2Fwww.webofscience.com%2Fwos%2Fwoscc%2Ffull-record%2FWOS:000180797700010","View Full Record in Web of Science")</f>
        <v>View Full Record in Web of Science</v>
      </c>
    </row>
    <row r="480" spans="1:72" x14ac:dyDescent="0.15">
      <c r="A480" t="s">
        <v>552</v>
      </c>
      <c r="B480" t="s">
        <v>6782</v>
      </c>
      <c r="C480" t="s">
        <v>74</v>
      </c>
      <c r="D480" t="s">
        <v>74</v>
      </c>
      <c r="E480" t="s">
        <v>74</v>
      </c>
      <c r="F480" t="s">
        <v>6782</v>
      </c>
      <c r="G480" t="s">
        <v>74</v>
      </c>
      <c r="H480" t="s">
        <v>74</v>
      </c>
      <c r="I480" t="s">
        <v>6783</v>
      </c>
      <c r="J480" t="s">
        <v>6784</v>
      </c>
      <c r="K480" t="s">
        <v>74</v>
      </c>
      <c r="L480" t="s">
        <v>74</v>
      </c>
      <c r="M480" t="s">
        <v>6785</v>
      </c>
      <c r="N480" t="s">
        <v>775</v>
      </c>
      <c r="O480" t="s">
        <v>74</v>
      </c>
      <c r="P480" t="s">
        <v>74</v>
      </c>
      <c r="Q480" t="s">
        <v>74</v>
      </c>
      <c r="R480" t="s">
        <v>74</v>
      </c>
      <c r="S480" t="s">
        <v>74</v>
      </c>
      <c r="T480" t="s">
        <v>74</v>
      </c>
      <c r="U480" t="s">
        <v>74</v>
      </c>
      <c r="V480" t="s">
        <v>6786</v>
      </c>
      <c r="W480" t="s">
        <v>6787</v>
      </c>
      <c r="X480" t="s">
        <v>6067</v>
      </c>
      <c r="Y480" t="s">
        <v>6788</v>
      </c>
      <c r="Z480" t="s">
        <v>74</v>
      </c>
      <c r="AA480" t="s">
        <v>74</v>
      </c>
      <c r="AB480" t="s">
        <v>74</v>
      </c>
      <c r="AC480" t="s">
        <v>74</v>
      </c>
      <c r="AD480" t="s">
        <v>74</v>
      </c>
      <c r="AE480" t="s">
        <v>74</v>
      </c>
      <c r="AF480" t="s">
        <v>74</v>
      </c>
      <c r="AG480">
        <v>22</v>
      </c>
      <c r="AH480">
        <v>4</v>
      </c>
      <c r="AI480">
        <v>4</v>
      </c>
      <c r="AJ480">
        <v>0</v>
      </c>
      <c r="AK480">
        <v>3</v>
      </c>
      <c r="AL480" t="s">
        <v>6789</v>
      </c>
      <c r="AM480" t="s">
        <v>6790</v>
      </c>
      <c r="AN480" t="s">
        <v>6791</v>
      </c>
      <c r="AO480" t="s">
        <v>6792</v>
      </c>
      <c r="AP480" t="s">
        <v>74</v>
      </c>
      <c r="AQ480" t="s">
        <v>74</v>
      </c>
      <c r="AR480" t="s">
        <v>6793</v>
      </c>
      <c r="AS480" t="s">
        <v>6794</v>
      </c>
      <c r="AT480" t="s">
        <v>5744</v>
      </c>
      <c r="AU480">
        <v>2002</v>
      </c>
      <c r="AV480">
        <v>81</v>
      </c>
      <c r="AW480">
        <v>12</v>
      </c>
      <c r="AX480" t="s">
        <v>74</v>
      </c>
      <c r="AY480" t="s">
        <v>74</v>
      </c>
      <c r="AZ480" t="s">
        <v>74</v>
      </c>
      <c r="BA480" t="s">
        <v>74</v>
      </c>
      <c r="BB480">
        <v>1448</v>
      </c>
      <c r="BC480">
        <v>1460</v>
      </c>
      <c r="BD480" t="s">
        <v>74</v>
      </c>
      <c r="BE480" t="s">
        <v>74</v>
      </c>
      <c r="BF480" t="s">
        <v>74</v>
      </c>
      <c r="BG480" t="s">
        <v>74</v>
      </c>
      <c r="BH480" t="s">
        <v>74</v>
      </c>
      <c r="BI480">
        <v>13</v>
      </c>
      <c r="BJ480" t="s">
        <v>927</v>
      </c>
      <c r="BK480" t="s">
        <v>569</v>
      </c>
      <c r="BL480" t="s">
        <v>927</v>
      </c>
      <c r="BM480" t="s">
        <v>6795</v>
      </c>
      <c r="BN480" t="s">
        <v>74</v>
      </c>
      <c r="BO480" t="s">
        <v>74</v>
      </c>
      <c r="BP480" t="s">
        <v>74</v>
      </c>
      <c r="BQ480" t="s">
        <v>74</v>
      </c>
      <c r="BR480" t="s">
        <v>98</v>
      </c>
      <c r="BS480" t="s">
        <v>6796</v>
      </c>
      <c r="BT480" t="str">
        <f>HYPERLINK("https%3A%2F%2Fwww.webofscience.com%2Fwos%2Fwoscc%2Ffull-record%2FWOS:000180257500004","View Full Record in Web of Science")</f>
        <v>View Full Record in Web of Science</v>
      </c>
    </row>
    <row r="481" spans="1:72" x14ac:dyDescent="0.15">
      <c r="A481" t="s">
        <v>552</v>
      </c>
      <c r="B481" t="s">
        <v>6797</v>
      </c>
      <c r="C481" t="s">
        <v>74</v>
      </c>
      <c r="D481" t="s">
        <v>74</v>
      </c>
      <c r="E481" t="s">
        <v>74</v>
      </c>
      <c r="F481" t="s">
        <v>6797</v>
      </c>
      <c r="G481" t="s">
        <v>74</v>
      </c>
      <c r="H481" t="s">
        <v>74</v>
      </c>
      <c r="I481" t="s">
        <v>6798</v>
      </c>
      <c r="J481" t="s">
        <v>6799</v>
      </c>
      <c r="K481" t="s">
        <v>74</v>
      </c>
      <c r="L481" t="s">
        <v>74</v>
      </c>
      <c r="M481" t="s">
        <v>78</v>
      </c>
      <c r="N481" t="s">
        <v>775</v>
      </c>
      <c r="O481" t="s">
        <v>74</v>
      </c>
      <c r="P481" t="s">
        <v>74</v>
      </c>
      <c r="Q481" t="s">
        <v>74</v>
      </c>
      <c r="R481" t="s">
        <v>74</v>
      </c>
      <c r="S481" t="s">
        <v>74</v>
      </c>
      <c r="T481" t="s">
        <v>6800</v>
      </c>
      <c r="U481" t="s">
        <v>6801</v>
      </c>
      <c r="V481" t="s">
        <v>6802</v>
      </c>
      <c r="W481" t="s">
        <v>6803</v>
      </c>
      <c r="X481" t="s">
        <v>6804</v>
      </c>
      <c r="Y481" t="s">
        <v>6805</v>
      </c>
      <c r="Z481" t="s">
        <v>74</v>
      </c>
      <c r="AA481" t="s">
        <v>6806</v>
      </c>
      <c r="AB481" t="s">
        <v>6807</v>
      </c>
      <c r="AC481" t="s">
        <v>74</v>
      </c>
      <c r="AD481" t="s">
        <v>74</v>
      </c>
      <c r="AE481" t="s">
        <v>74</v>
      </c>
      <c r="AF481" t="s">
        <v>74</v>
      </c>
      <c r="AG481">
        <v>23</v>
      </c>
      <c r="AH481">
        <v>31</v>
      </c>
      <c r="AI481">
        <v>35</v>
      </c>
      <c r="AJ481">
        <v>0</v>
      </c>
      <c r="AK481">
        <v>9</v>
      </c>
      <c r="AL481" t="s">
        <v>1860</v>
      </c>
      <c r="AM481" t="s">
        <v>1861</v>
      </c>
      <c r="AN481" t="s">
        <v>1862</v>
      </c>
      <c r="AO481" t="s">
        <v>6808</v>
      </c>
      <c r="AP481" t="s">
        <v>74</v>
      </c>
      <c r="AQ481" t="s">
        <v>74</v>
      </c>
      <c r="AR481" t="s">
        <v>6809</v>
      </c>
      <c r="AS481" t="s">
        <v>6810</v>
      </c>
      <c r="AT481" t="s">
        <v>6811</v>
      </c>
      <c r="AU481">
        <v>2002</v>
      </c>
      <c r="AV481">
        <v>204</v>
      </c>
      <c r="AW481" t="s">
        <v>1866</v>
      </c>
      <c r="AX481" t="s">
        <v>74</v>
      </c>
      <c r="AY481" t="s">
        <v>74</v>
      </c>
      <c r="AZ481" t="s">
        <v>74</v>
      </c>
      <c r="BA481" t="s">
        <v>74</v>
      </c>
      <c r="BB481">
        <v>33</v>
      </c>
      <c r="BC481">
        <v>46</v>
      </c>
      <c r="BD481" t="s">
        <v>6812</v>
      </c>
      <c r="BE481" t="s">
        <v>6813</v>
      </c>
      <c r="BF481" t="str">
        <f>HYPERLINK("http://dx.doi.org/10.1016/S0012-821X(02)00959-7","http://dx.doi.org/10.1016/S0012-821X(02)00959-7")</f>
        <v>http://dx.doi.org/10.1016/S0012-821X(02)00959-7</v>
      </c>
      <c r="BG481" t="s">
        <v>74</v>
      </c>
      <c r="BH481" t="s">
        <v>74</v>
      </c>
      <c r="BI481">
        <v>14</v>
      </c>
      <c r="BJ481" t="s">
        <v>2068</v>
      </c>
      <c r="BK481" t="s">
        <v>569</v>
      </c>
      <c r="BL481" t="s">
        <v>2068</v>
      </c>
      <c r="BM481" t="s">
        <v>6814</v>
      </c>
      <c r="BN481" t="s">
        <v>74</v>
      </c>
      <c r="BO481" t="s">
        <v>74</v>
      </c>
      <c r="BP481" t="s">
        <v>74</v>
      </c>
      <c r="BQ481" t="s">
        <v>74</v>
      </c>
      <c r="BR481" t="s">
        <v>98</v>
      </c>
      <c r="BS481" t="s">
        <v>6815</v>
      </c>
      <c r="BT481" t="str">
        <f>HYPERLINK("https%3A%2F%2Fwww.webofscience.com%2Fwos%2Fwoscc%2Ffull-record%2FWOS:000179477200003","View Full Record in Web of Science")</f>
        <v>View Full Record in Web of Science</v>
      </c>
    </row>
    <row r="482" spans="1:72" x14ac:dyDescent="0.15">
      <c r="A482" t="s">
        <v>552</v>
      </c>
      <c r="B482" t="s">
        <v>6816</v>
      </c>
      <c r="C482" t="s">
        <v>74</v>
      </c>
      <c r="D482" t="s">
        <v>74</v>
      </c>
      <c r="E482" t="s">
        <v>74</v>
      </c>
      <c r="F482" t="s">
        <v>6816</v>
      </c>
      <c r="G482" t="s">
        <v>74</v>
      </c>
      <c r="H482" t="s">
        <v>74</v>
      </c>
      <c r="I482" t="s">
        <v>6817</v>
      </c>
      <c r="J482" t="s">
        <v>6799</v>
      </c>
      <c r="K482" t="s">
        <v>74</v>
      </c>
      <c r="L482" t="s">
        <v>74</v>
      </c>
      <c r="M482" t="s">
        <v>78</v>
      </c>
      <c r="N482" t="s">
        <v>775</v>
      </c>
      <c r="O482" t="s">
        <v>74</v>
      </c>
      <c r="P482" t="s">
        <v>74</v>
      </c>
      <c r="Q482" t="s">
        <v>74</v>
      </c>
      <c r="R482" t="s">
        <v>74</v>
      </c>
      <c r="S482" t="s">
        <v>74</v>
      </c>
      <c r="T482" t="s">
        <v>6818</v>
      </c>
      <c r="U482" t="s">
        <v>6819</v>
      </c>
      <c r="V482" t="s">
        <v>6820</v>
      </c>
      <c r="W482" t="s">
        <v>6821</v>
      </c>
      <c r="X482" t="s">
        <v>6822</v>
      </c>
      <c r="Y482" t="s">
        <v>6823</v>
      </c>
      <c r="Z482" t="s">
        <v>6824</v>
      </c>
      <c r="AA482" t="s">
        <v>74</v>
      </c>
      <c r="AB482" t="s">
        <v>74</v>
      </c>
      <c r="AC482" t="s">
        <v>74</v>
      </c>
      <c r="AD482" t="s">
        <v>74</v>
      </c>
      <c r="AE482" t="s">
        <v>74</v>
      </c>
      <c r="AF482" t="s">
        <v>74</v>
      </c>
      <c r="AG482">
        <v>57</v>
      </c>
      <c r="AH482">
        <v>102</v>
      </c>
      <c r="AI482">
        <v>121</v>
      </c>
      <c r="AJ482">
        <v>1</v>
      </c>
      <c r="AK482">
        <v>24</v>
      </c>
      <c r="AL482" t="s">
        <v>3155</v>
      </c>
      <c r="AM482" t="s">
        <v>1861</v>
      </c>
      <c r="AN482" t="s">
        <v>3156</v>
      </c>
      <c r="AO482" t="s">
        <v>6808</v>
      </c>
      <c r="AP482" t="s">
        <v>6825</v>
      </c>
      <c r="AQ482" t="s">
        <v>74</v>
      </c>
      <c r="AR482" t="s">
        <v>6809</v>
      </c>
      <c r="AS482" t="s">
        <v>6810</v>
      </c>
      <c r="AT482" t="s">
        <v>6811</v>
      </c>
      <c r="AU482">
        <v>2002</v>
      </c>
      <c r="AV482">
        <v>204</v>
      </c>
      <c r="AW482" t="s">
        <v>1866</v>
      </c>
      <c r="AX482" t="s">
        <v>74</v>
      </c>
      <c r="AY482" t="s">
        <v>74</v>
      </c>
      <c r="AZ482" t="s">
        <v>74</v>
      </c>
      <c r="BA482" t="s">
        <v>74</v>
      </c>
      <c r="BB482">
        <v>275</v>
      </c>
      <c r="BC482">
        <v>289</v>
      </c>
      <c r="BD482" t="s">
        <v>6826</v>
      </c>
      <c r="BE482" t="s">
        <v>6827</v>
      </c>
      <c r="BF482" t="str">
        <f>HYPERLINK("http://dx.doi.org/10.1016/S0012-821X(02)00980-9","http://dx.doi.org/10.1016/S0012-821X(02)00980-9")</f>
        <v>http://dx.doi.org/10.1016/S0012-821X(02)00980-9</v>
      </c>
      <c r="BG482" t="s">
        <v>74</v>
      </c>
      <c r="BH482" t="s">
        <v>74</v>
      </c>
      <c r="BI482">
        <v>15</v>
      </c>
      <c r="BJ482" t="s">
        <v>2068</v>
      </c>
      <c r="BK482" t="s">
        <v>569</v>
      </c>
      <c r="BL482" t="s">
        <v>2068</v>
      </c>
      <c r="BM482" t="s">
        <v>6814</v>
      </c>
      <c r="BN482" t="s">
        <v>74</v>
      </c>
      <c r="BO482" t="s">
        <v>590</v>
      </c>
      <c r="BP482" t="s">
        <v>74</v>
      </c>
      <c r="BQ482" t="s">
        <v>74</v>
      </c>
      <c r="BR482" t="s">
        <v>98</v>
      </c>
      <c r="BS482" t="s">
        <v>6828</v>
      </c>
      <c r="BT482" t="str">
        <f>HYPERLINK("https%3A%2F%2Fwww.webofscience.com%2Fwos%2Fwoscc%2Ffull-record%2FWOS:000179477200019","View Full Record in Web of Science")</f>
        <v>View Full Record in Web of Science</v>
      </c>
    </row>
    <row r="483" spans="1:72" x14ac:dyDescent="0.15">
      <c r="A483" t="s">
        <v>552</v>
      </c>
      <c r="B483" t="s">
        <v>6829</v>
      </c>
      <c r="C483" t="s">
        <v>74</v>
      </c>
      <c r="D483" t="s">
        <v>74</v>
      </c>
      <c r="E483" t="s">
        <v>74</v>
      </c>
      <c r="F483" t="s">
        <v>6829</v>
      </c>
      <c r="G483" t="s">
        <v>74</v>
      </c>
      <c r="H483" t="s">
        <v>74</v>
      </c>
      <c r="I483" t="s">
        <v>6830</v>
      </c>
      <c r="J483" t="s">
        <v>6799</v>
      </c>
      <c r="K483" t="s">
        <v>74</v>
      </c>
      <c r="L483" t="s">
        <v>74</v>
      </c>
      <c r="M483" t="s">
        <v>78</v>
      </c>
      <c r="N483" t="s">
        <v>775</v>
      </c>
      <c r="O483" t="s">
        <v>74</v>
      </c>
      <c r="P483" t="s">
        <v>74</v>
      </c>
      <c r="Q483" t="s">
        <v>74</v>
      </c>
      <c r="R483" t="s">
        <v>74</v>
      </c>
      <c r="S483" t="s">
        <v>74</v>
      </c>
      <c r="T483" t="s">
        <v>6831</v>
      </c>
      <c r="U483" t="s">
        <v>6832</v>
      </c>
      <c r="V483" t="s">
        <v>6833</v>
      </c>
      <c r="W483" t="s">
        <v>6834</v>
      </c>
      <c r="X483" t="s">
        <v>6835</v>
      </c>
      <c r="Y483" t="s">
        <v>6836</v>
      </c>
      <c r="Z483" t="s">
        <v>74</v>
      </c>
      <c r="AA483" t="s">
        <v>6837</v>
      </c>
      <c r="AB483" t="s">
        <v>6838</v>
      </c>
      <c r="AC483" t="s">
        <v>74</v>
      </c>
      <c r="AD483" t="s">
        <v>74</v>
      </c>
      <c r="AE483" t="s">
        <v>74</v>
      </c>
      <c r="AF483" t="s">
        <v>74</v>
      </c>
      <c r="AG483">
        <v>55</v>
      </c>
      <c r="AH483">
        <v>112</v>
      </c>
      <c r="AI483">
        <v>122</v>
      </c>
      <c r="AJ483">
        <v>0</v>
      </c>
      <c r="AK483">
        <v>24</v>
      </c>
      <c r="AL483" t="s">
        <v>1860</v>
      </c>
      <c r="AM483" t="s">
        <v>1861</v>
      </c>
      <c r="AN483" t="s">
        <v>1862</v>
      </c>
      <c r="AO483" t="s">
        <v>6808</v>
      </c>
      <c r="AP483" t="s">
        <v>74</v>
      </c>
      <c r="AQ483" t="s">
        <v>74</v>
      </c>
      <c r="AR483" t="s">
        <v>6809</v>
      </c>
      <c r="AS483" t="s">
        <v>6810</v>
      </c>
      <c r="AT483" t="s">
        <v>6811</v>
      </c>
      <c r="AU483">
        <v>2002</v>
      </c>
      <c r="AV483">
        <v>204</v>
      </c>
      <c r="AW483" t="s">
        <v>1866</v>
      </c>
      <c r="AX483" t="s">
        <v>74</v>
      </c>
      <c r="AY483" t="s">
        <v>74</v>
      </c>
      <c r="AZ483" t="s">
        <v>74</v>
      </c>
      <c r="BA483" t="s">
        <v>74</v>
      </c>
      <c r="BB483">
        <v>291</v>
      </c>
      <c r="BC483">
        <v>306</v>
      </c>
      <c r="BD483" t="s">
        <v>6839</v>
      </c>
      <c r="BE483" t="s">
        <v>6840</v>
      </c>
      <c r="BF483" t="str">
        <f>HYPERLINK("http://dx.doi.org/10.1016/S0012-821X(02)00983-4","http://dx.doi.org/10.1016/S0012-821X(02)00983-4")</f>
        <v>http://dx.doi.org/10.1016/S0012-821X(02)00983-4</v>
      </c>
      <c r="BG483" t="s">
        <v>74</v>
      </c>
      <c r="BH483" t="s">
        <v>74</v>
      </c>
      <c r="BI483">
        <v>16</v>
      </c>
      <c r="BJ483" t="s">
        <v>2068</v>
      </c>
      <c r="BK483" t="s">
        <v>569</v>
      </c>
      <c r="BL483" t="s">
        <v>2068</v>
      </c>
      <c r="BM483" t="s">
        <v>6814</v>
      </c>
      <c r="BN483" t="s">
        <v>74</v>
      </c>
      <c r="BO483" t="s">
        <v>74</v>
      </c>
      <c r="BP483" t="s">
        <v>74</v>
      </c>
      <c r="BQ483" t="s">
        <v>74</v>
      </c>
      <c r="BR483" t="s">
        <v>98</v>
      </c>
      <c r="BS483" t="s">
        <v>6841</v>
      </c>
      <c r="BT483" t="str">
        <f>HYPERLINK("https%3A%2F%2Fwww.webofscience.com%2Fwos%2Fwoscc%2Ffull-record%2FWOS:000179477200020","View Full Record in Web of Science")</f>
        <v>View Full Record in Web of Science</v>
      </c>
    </row>
    <row r="484" spans="1:72" x14ac:dyDescent="0.15">
      <c r="A484" t="s">
        <v>552</v>
      </c>
      <c r="B484" t="s">
        <v>6842</v>
      </c>
      <c r="C484" t="s">
        <v>74</v>
      </c>
      <c r="D484" t="s">
        <v>74</v>
      </c>
      <c r="E484" t="s">
        <v>74</v>
      </c>
      <c r="F484" t="s">
        <v>6842</v>
      </c>
      <c r="G484" t="s">
        <v>74</v>
      </c>
      <c r="H484" t="s">
        <v>74</v>
      </c>
      <c r="I484" t="s">
        <v>6843</v>
      </c>
      <c r="J484" t="s">
        <v>6844</v>
      </c>
      <c r="K484" t="s">
        <v>74</v>
      </c>
      <c r="L484" t="s">
        <v>74</v>
      </c>
      <c r="M484" t="s">
        <v>78</v>
      </c>
      <c r="N484" t="s">
        <v>1987</v>
      </c>
      <c r="O484" t="s">
        <v>74</v>
      </c>
      <c r="P484" t="s">
        <v>74</v>
      </c>
      <c r="Q484" t="s">
        <v>74</v>
      </c>
      <c r="R484" t="s">
        <v>74</v>
      </c>
      <c r="S484" t="s">
        <v>74</v>
      </c>
      <c r="T484" t="s">
        <v>74</v>
      </c>
      <c r="U484" t="s">
        <v>74</v>
      </c>
      <c r="V484" t="s">
        <v>74</v>
      </c>
      <c r="W484" t="s">
        <v>74</v>
      </c>
      <c r="X484" t="s">
        <v>74</v>
      </c>
      <c r="Y484" t="s">
        <v>74</v>
      </c>
      <c r="Z484" t="s">
        <v>74</v>
      </c>
      <c r="AA484" t="s">
        <v>74</v>
      </c>
      <c r="AB484" t="s">
        <v>74</v>
      </c>
      <c r="AC484" t="s">
        <v>74</v>
      </c>
      <c r="AD484" t="s">
        <v>74</v>
      </c>
      <c r="AE484" t="s">
        <v>74</v>
      </c>
      <c r="AF484" t="s">
        <v>74</v>
      </c>
      <c r="AG484">
        <v>0</v>
      </c>
      <c r="AH484">
        <v>0</v>
      </c>
      <c r="AI484">
        <v>0</v>
      </c>
      <c r="AJ484">
        <v>0</v>
      </c>
      <c r="AK484">
        <v>2</v>
      </c>
      <c r="AL484" t="s">
        <v>6845</v>
      </c>
      <c r="AM484" t="s">
        <v>6846</v>
      </c>
      <c r="AN484" t="s">
        <v>6847</v>
      </c>
      <c r="AO484" t="s">
        <v>6848</v>
      </c>
      <c r="AP484" t="s">
        <v>74</v>
      </c>
      <c r="AQ484" t="s">
        <v>74</v>
      </c>
      <c r="AR484" t="s">
        <v>6849</v>
      </c>
      <c r="AS484" t="s">
        <v>6850</v>
      </c>
      <c r="AT484" t="s">
        <v>6811</v>
      </c>
      <c r="AU484">
        <v>2002</v>
      </c>
      <c r="AV484">
        <v>176</v>
      </c>
      <c r="AW484">
        <v>2371</v>
      </c>
      <c r="AX484" t="s">
        <v>74</v>
      </c>
      <c r="AY484" t="s">
        <v>74</v>
      </c>
      <c r="AZ484" t="s">
        <v>74</v>
      </c>
      <c r="BA484" t="s">
        <v>74</v>
      </c>
      <c r="BB484">
        <v>25</v>
      </c>
      <c r="BC484">
        <v>25</v>
      </c>
      <c r="BD484" t="s">
        <v>74</v>
      </c>
      <c r="BE484" t="s">
        <v>74</v>
      </c>
      <c r="BF484" t="s">
        <v>74</v>
      </c>
      <c r="BG484" t="s">
        <v>74</v>
      </c>
      <c r="BH484" t="s">
        <v>74</v>
      </c>
      <c r="BI484">
        <v>1</v>
      </c>
      <c r="BJ484" t="s">
        <v>5596</v>
      </c>
      <c r="BK484" t="s">
        <v>569</v>
      </c>
      <c r="BL484" t="s">
        <v>5597</v>
      </c>
      <c r="BM484" t="s">
        <v>6851</v>
      </c>
      <c r="BN484" t="s">
        <v>74</v>
      </c>
      <c r="BO484" t="s">
        <v>74</v>
      </c>
      <c r="BP484" t="s">
        <v>74</v>
      </c>
      <c r="BQ484" t="s">
        <v>74</v>
      </c>
      <c r="BR484" t="s">
        <v>98</v>
      </c>
      <c r="BS484" t="s">
        <v>6852</v>
      </c>
      <c r="BT484" t="str">
        <f>HYPERLINK("https%3A%2F%2Fwww.webofscience.com%2Fwos%2Fwoscc%2Ffull-record%2FWOS:000179651900036","View Full Record in Web of Science")</f>
        <v>View Full Record in Web of Science</v>
      </c>
    </row>
    <row r="485" spans="1:72" x14ac:dyDescent="0.15">
      <c r="A485" t="s">
        <v>552</v>
      </c>
      <c r="B485" t="s">
        <v>6853</v>
      </c>
      <c r="C485" t="s">
        <v>74</v>
      </c>
      <c r="D485" t="s">
        <v>74</v>
      </c>
      <c r="E485" t="s">
        <v>74</v>
      </c>
      <c r="F485" t="s">
        <v>6853</v>
      </c>
      <c r="G485" t="s">
        <v>74</v>
      </c>
      <c r="H485" t="s">
        <v>74</v>
      </c>
      <c r="I485" t="s">
        <v>6854</v>
      </c>
      <c r="J485" t="s">
        <v>6855</v>
      </c>
      <c r="K485" t="s">
        <v>74</v>
      </c>
      <c r="L485" t="s">
        <v>74</v>
      </c>
      <c r="M485" t="s">
        <v>78</v>
      </c>
      <c r="N485" t="s">
        <v>775</v>
      </c>
      <c r="O485" t="s">
        <v>74</v>
      </c>
      <c r="P485" t="s">
        <v>74</v>
      </c>
      <c r="Q485" t="s">
        <v>74</v>
      </c>
      <c r="R485" t="s">
        <v>74</v>
      </c>
      <c r="S485" t="s">
        <v>74</v>
      </c>
      <c r="T485" t="s">
        <v>74</v>
      </c>
      <c r="U485" t="s">
        <v>6856</v>
      </c>
      <c r="V485" t="s">
        <v>6857</v>
      </c>
      <c r="W485" t="s">
        <v>6858</v>
      </c>
      <c r="X485" t="s">
        <v>6859</v>
      </c>
      <c r="Y485" t="s">
        <v>6860</v>
      </c>
      <c r="Z485" t="s">
        <v>6861</v>
      </c>
      <c r="AA485" t="s">
        <v>74</v>
      </c>
      <c r="AB485" t="s">
        <v>74</v>
      </c>
      <c r="AC485" t="s">
        <v>74</v>
      </c>
      <c r="AD485" t="s">
        <v>74</v>
      </c>
      <c r="AE485" t="s">
        <v>74</v>
      </c>
      <c r="AF485" t="s">
        <v>74</v>
      </c>
      <c r="AG485">
        <v>31</v>
      </c>
      <c r="AH485">
        <v>36</v>
      </c>
      <c r="AI485">
        <v>38</v>
      </c>
      <c r="AJ485">
        <v>0</v>
      </c>
      <c r="AK485">
        <v>4</v>
      </c>
      <c r="AL485" t="s">
        <v>6862</v>
      </c>
      <c r="AM485" t="s">
        <v>3899</v>
      </c>
      <c r="AN485" t="s">
        <v>6863</v>
      </c>
      <c r="AO485" t="s">
        <v>6864</v>
      </c>
      <c r="AP485" t="s">
        <v>6865</v>
      </c>
      <c r="AQ485" t="s">
        <v>74</v>
      </c>
      <c r="AR485" t="s">
        <v>6866</v>
      </c>
      <c r="AS485" t="s">
        <v>6867</v>
      </c>
      <c r="AT485" t="s">
        <v>6868</v>
      </c>
      <c r="AU485">
        <v>2002</v>
      </c>
      <c r="AV485">
        <v>277</v>
      </c>
      <c r="AW485">
        <v>48</v>
      </c>
      <c r="AX485" t="s">
        <v>74</v>
      </c>
      <c r="AY485" t="s">
        <v>74</v>
      </c>
      <c r="AZ485" t="s">
        <v>74</v>
      </c>
      <c r="BA485" t="s">
        <v>74</v>
      </c>
      <c r="BB485">
        <v>46110</v>
      </c>
      <c r="BC485">
        <v>46115</v>
      </c>
      <c r="BD485" t="s">
        <v>74</v>
      </c>
      <c r="BE485" t="s">
        <v>6869</v>
      </c>
      <c r="BF485" t="str">
        <f>HYPERLINK("http://dx.doi.org/10.1074/jbc.M207253200","http://dx.doi.org/10.1074/jbc.M207253200")</f>
        <v>http://dx.doi.org/10.1074/jbc.M207253200</v>
      </c>
      <c r="BG485" t="s">
        <v>74</v>
      </c>
      <c r="BH485" t="s">
        <v>74</v>
      </c>
      <c r="BI485">
        <v>6</v>
      </c>
      <c r="BJ485" t="s">
        <v>2171</v>
      </c>
      <c r="BK485" t="s">
        <v>569</v>
      </c>
      <c r="BL485" t="s">
        <v>2171</v>
      </c>
      <c r="BM485" t="s">
        <v>6870</v>
      </c>
      <c r="BN485">
        <v>12324460</v>
      </c>
      <c r="BO485" t="s">
        <v>6871</v>
      </c>
      <c r="BP485" t="s">
        <v>74</v>
      </c>
      <c r="BQ485" t="s">
        <v>74</v>
      </c>
      <c r="BR485" t="s">
        <v>98</v>
      </c>
      <c r="BS485" t="s">
        <v>6872</v>
      </c>
      <c r="BT485" t="str">
        <f>HYPERLINK("https%3A%2F%2Fwww.webofscience.com%2Fwos%2Fwoscc%2Ffull-record%2FWOS:000179529300054","View Full Record in Web of Science")</f>
        <v>View Full Record in Web of Science</v>
      </c>
    </row>
    <row r="486" spans="1:72" x14ac:dyDescent="0.15">
      <c r="A486" t="s">
        <v>552</v>
      </c>
      <c r="B486" t="s">
        <v>6873</v>
      </c>
      <c r="C486" t="s">
        <v>74</v>
      </c>
      <c r="D486" t="s">
        <v>74</v>
      </c>
      <c r="E486" t="s">
        <v>74</v>
      </c>
      <c r="F486" t="s">
        <v>6873</v>
      </c>
      <c r="G486" t="s">
        <v>74</v>
      </c>
      <c r="H486" t="s">
        <v>74</v>
      </c>
      <c r="I486" t="s">
        <v>6874</v>
      </c>
      <c r="J486" t="s">
        <v>6875</v>
      </c>
      <c r="K486" t="s">
        <v>74</v>
      </c>
      <c r="L486" t="s">
        <v>74</v>
      </c>
      <c r="M486" t="s">
        <v>78</v>
      </c>
      <c r="N486" t="s">
        <v>6198</v>
      </c>
      <c r="O486" t="s">
        <v>74</v>
      </c>
      <c r="P486" t="s">
        <v>74</v>
      </c>
      <c r="Q486" t="s">
        <v>74</v>
      </c>
      <c r="R486" t="s">
        <v>74</v>
      </c>
      <c r="S486" t="s">
        <v>74</v>
      </c>
      <c r="T486" t="s">
        <v>74</v>
      </c>
      <c r="U486" t="s">
        <v>74</v>
      </c>
      <c r="V486" t="s">
        <v>74</v>
      </c>
      <c r="W486" t="s">
        <v>74</v>
      </c>
      <c r="X486" t="s">
        <v>74</v>
      </c>
      <c r="Y486" t="s">
        <v>74</v>
      </c>
      <c r="Z486" t="s">
        <v>74</v>
      </c>
      <c r="AA486" t="s">
        <v>74</v>
      </c>
      <c r="AB486" t="s">
        <v>74</v>
      </c>
      <c r="AC486" t="s">
        <v>74</v>
      </c>
      <c r="AD486" t="s">
        <v>74</v>
      </c>
      <c r="AE486" t="s">
        <v>74</v>
      </c>
      <c r="AF486" t="s">
        <v>74</v>
      </c>
      <c r="AG486">
        <v>1</v>
      </c>
      <c r="AH486">
        <v>0</v>
      </c>
      <c r="AI486">
        <v>0</v>
      </c>
      <c r="AJ486">
        <v>0</v>
      </c>
      <c r="AK486">
        <v>0</v>
      </c>
      <c r="AL486" t="s">
        <v>6876</v>
      </c>
      <c r="AM486" t="s">
        <v>561</v>
      </c>
      <c r="AN486" t="s">
        <v>6877</v>
      </c>
      <c r="AO486" t="s">
        <v>6878</v>
      </c>
      <c r="AP486" t="s">
        <v>6879</v>
      </c>
      <c r="AQ486" t="s">
        <v>74</v>
      </c>
      <c r="AR486" t="s">
        <v>6880</v>
      </c>
      <c r="AS486" t="s">
        <v>6881</v>
      </c>
      <c r="AT486" t="s">
        <v>6882</v>
      </c>
      <c r="AU486">
        <v>2002</v>
      </c>
      <c r="AV486">
        <v>49</v>
      </c>
      <c r="AW486">
        <v>18</v>
      </c>
      <c r="AX486" t="s">
        <v>74</v>
      </c>
      <c r="AY486" t="s">
        <v>74</v>
      </c>
      <c r="AZ486" t="s">
        <v>74</v>
      </c>
      <c r="BA486" t="s">
        <v>74</v>
      </c>
      <c r="BB486">
        <v>39</v>
      </c>
      <c r="BC486">
        <v>41</v>
      </c>
      <c r="BD486" t="s">
        <v>74</v>
      </c>
      <c r="BE486" t="s">
        <v>74</v>
      </c>
      <c r="BF486" t="s">
        <v>74</v>
      </c>
      <c r="BG486" t="s">
        <v>74</v>
      </c>
      <c r="BH486" t="s">
        <v>74</v>
      </c>
      <c r="BI486">
        <v>3</v>
      </c>
      <c r="BJ486" t="s">
        <v>6883</v>
      </c>
      <c r="BK486" t="s">
        <v>4919</v>
      </c>
      <c r="BL486" t="s">
        <v>6884</v>
      </c>
      <c r="BM486" t="s">
        <v>6885</v>
      </c>
      <c r="BN486" t="s">
        <v>74</v>
      </c>
      <c r="BO486" t="s">
        <v>74</v>
      </c>
      <c r="BP486" t="s">
        <v>74</v>
      </c>
      <c r="BQ486" t="s">
        <v>74</v>
      </c>
      <c r="BR486" t="s">
        <v>98</v>
      </c>
      <c r="BS486" t="s">
        <v>6886</v>
      </c>
      <c r="BT486" t="str">
        <f>HYPERLINK("https%3A%2F%2Fwww.webofscience.com%2Fwos%2Fwoscc%2Ffull-record%2FWOS:000178947000025","View Full Record in Web of Science")</f>
        <v>View Full Record in Web of Science</v>
      </c>
    </row>
    <row r="487" spans="1:72" x14ac:dyDescent="0.15">
      <c r="A487" t="s">
        <v>552</v>
      </c>
      <c r="B487" t="s">
        <v>6887</v>
      </c>
      <c r="C487" t="s">
        <v>74</v>
      </c>
      <c r="D487" t="s">
        <v>74</v>
      </c>
      <c r="E487" t="s">
        <v>74</v>
      </c>
      <c r="F487" t="s">
        <v>6887</v>
      </c>
      <c r="G487" t="s">
        <v>74</v>
      </c>
      <c r="H487" t="s">
        <v>74</v>
      </c>
      <c r="I487" t="s">
        <v>6888</v>
      </c>
      <c r="J487" t="s">
        <v>5130</v>
      </c>
      <c r="K487" t="s">
        <v>74</v>
      </c>
      <c r="L487" t="s">
        <v>74</v>
      </c>
      <c r="M487" t="s">
        <v>78</v>
      </c>
      <c r="N487" t="s">
        <v>775</v>
      </c>
      <c r="O487" t="s">
        <v>74</v>
      </c>
      <c r="P487" t="s">
        <v>74</v>
      </c>
      <c r="Q487" t="s">
        <v>74</v>
      </c>
      <c r="R487" t="s">
        <v>74</v>
      </c>
      <c r="S487" t="s">
        <v>74</v>
      </c>
      <c r="T487" t="s">
        <v>6889</v>
      </c>
      <c r="U487" t="s">
        <v>6890</v>
      </c>
      <c r="V487" t="s">
        <v>6891</v>
      </c>
      <c r="W487" t="s">
        <v>6892</v>
      </c>
      <c r="X487" t="s">
        <v>6893</v>
      </c>
      <c r="Y487" t="s">
        <v>6894</v>
      </c>
      <c r="Z487" t="s">
        <v>6895</v>
      </c>
      <c r="AA487" t="s">
        <v>74</v>
      </c>
      <c r="AB487" t="s">
        <v>74</v>
      </c>
      <c r="AC487" t="s">
        <v>74</v>
      </c>
      <c r="AD487" t="s">
        <v>74</v>
      </c>
      <c r="AE487" t="s">
        <v>74</v>
      </c>
      <c r="AF487" t="s">
        <v>74</v>
      </c>
      <c r="AG487">
        <v>76</v>
      </c>
      <c r="AH487">
        <v>36</v>
      </c>
      <c r="AI487">
        <v>37</v>
      </c>
      <c r="AJ487">
        <v>0</v>
      </c>
      <c r="AK487">
        <v>17</v>
      </c>
      <c r="AL487" t="s">
        <v>3155</v>
      </c>
      <c r="AM487" t="s">
        <v>1861</v>
      </c>
      <c r="AN487" t="s">
        <v>3156</v>
      </c>
      <c r="AO487" t="s">
        <v>5139</v>
      </c>
      <c r="AP487" t="s">
        <v>5140</v>
      </c>
      <c r="AQ487" t="s">
        <v>74</v>
      </c>
      <c r="AR487" t="s">
        <v>5141</v>
      </c>
      <c r="AS487" t="s">
        <v>5142</v>
      </c>
      <c r="AT487" t="s">
        <v>6896</v>
      </c>
      <c r="AU487">
        <v>2002</v>
      </c>
      <c r="AV487">
        <v>191</v>
      </c>
      <c r="AW487" t="s">
        <v>1866</v>
      </c>
      <c r="AX487" t="s">
        <v>74</v>
      </c>
      <c r="AY487" t="s">
        <v>74</v>
      </c>
      <c r="AZ487" t="s">
        <v>74</v>
      </c>
      <c r="BA487" t="s">
        <v>74</v>
      </c>
      <c r="BB487">
        <v>19</v>
      </c>
      <c r="BC487">
        <v>35</v>
      </c>
      <c r="BD487" t="s">
        <v>6897</v>
      </c>
      <c r="BE487" t="s">
        <v>6898</v>
      </c>
      <c r="BF487" t="str">
        <f>HYPERLINK("http://dx.doi.org/10.1016/S0025-3227(02)00509-1","http://dx.doi.org/10.1016/S0025-3227(02)00509-1")</f>
        <v>http://dx.doi.org/10.1016/S0025-3227(02)00509-1</v>
      </c>
      <c r="BG487" t="s">
        <v>74</v>
      </c>
      <c r="BH487" t="s">
        <v>74</v>
      </c>
      <c r="BI487">
        <v>17</v>
      </c>
      <c r="BJ487" t="s">
        <v>5146</v>
      </c>
      <c r="BK487" t="s">
        <v>569</v>
      </c>
      <c r="BL487" t="s">
        <v>5147</v>
      </c>
      <c r="BM487" t="s">
        <v>6899</v>
      </c>
      <c r="BN487" t="s">
        <v>74</v>
      </c>
      <c r="BO487" t="s">
        <v>74</v>
      </c>
      <c r="BP487" t="s">
        <v>74</v>
      </c>
      <c r="BQ487" t="s">
        <v>74</v>
      </c>
      <c r="BR487" t="s">
        <v>98</v>
      </c>
      <c r="BS487" t="s">
        <v>6900</v>
      </c>
      <c r="BT487" t="str">
        <f>HYPERLINK("https%3A%2F%2Fwww.webofscience.com%2Fwos%2Fwoscc%2Ffull-record%2FWOS:000179008200002","View Full Record in Web of Science")</f>
        <v>View Full Record in Web of Science</v>
      </c>
    </row>
    <row r="488" spans="1:72" x14ac:dyDescent="0.15">
      <c r="A488" t="s">
        <v>552</v>
      </c>
      <c r="B488" t="s">
        <v>6901</v>
      </c>
      <c r="C488" t="s">
        <v>74</v>
      </c>
      <c r="D488" t="s">
        <v>74</v>
      </c>
      <c r="E488" t="s">
        <v>74</v>
      </c>
      <c r="F488" t="s">
        <v>6901</v>
      </c>
      <c r="G488" t="s">
        <v>74</v>
      </c>
      <c r="H488" t="s">
        <v>74</v>
      </c>
      <c r="I488" t="s">
        <v>6902</v>
      </c>
      <c r="J488" t="s">
        <v>5130</v>
      </c>
      <c r="K488" t="s">
        <v>74</v>
      </c>
      <c r="L488" t="s">
        <v>74</v>
      </c>
      <c r="M488" t="s">
        <v>78</v>
      </c>
      <c r="N488" t="s">
        <v>775</v>
      </c>
      <c r="O488" t="s">
        <v>74</v>
      </c>
      <c r="P488" t="s">
        <v>74</v>
      </c>
      <c r="Q488" t="s">
        <v>74</v>
      </c>
      <c r="R488" t="s">
        <v>74</v>
      </c>
      <c r="S488" t="s">
        <v>74</v>
      </c>
      <c r="T488" t="s">
        <v>6903</v>
      </c>
      <c r="U488" t="s">
        <v>6904</v>
      </c>
      <c r="V488" t="s">
        <v>6905</v>
      </c>
      <c r="W488" t="s">
        <v>6906</v>
      </c>
      <c r="X488" t="s">
        <v>6907</v>
      </c>
      <c r="Y488" t="s">
        <v>6908</v>
      </c>
      <c r="Z488" t="s">
        <v>6909</v>
      </c>
      <c r="AA488" t="s">
        <v>74</v>
      </c>
      <c r="AB488" t="s">
        <v>6910</v>
      </c>
      <c r="AC488" t="s">
        <v>74</v>
      </c>
      <c r="AD488" t="s">
        <v>74</v>
      </c>
      <c r="AE488" t="s">
        <v>74</v>
      </c>
      <c r="AF488" t="s">
        <v>74</v>
      </c>
      <c r="AG488">
        <v>71</v>
      </c>
      <c r="AH488">
        <v>16</v>
      </c>
      <c r="AI488">
        <v>21</v>
      </c>
      <c r="AJ488">
        <v>2</v>
      </c>
      <c r="AK488">
        <v>20</v>
      </c>
      <c r="AL488" t="s">
        <v>3155</v>
      </c>
      <c r="AM488" t="s">
        <v>1861</v>
      </c>
      <c r="AN488" t="s">
        <v>3156</v>
      </c>
      <c r="AO488" t="s">
        <v>5139</v>
      </c>
      <c r="AP488" t="s">
        <v>5140</v>
      </c>
      <c r="AQ488" t="s">
        <v>74</v>
      </c>
      <c r="AR488" t="s">
        <v>5141</v>
      </c>
      <c r="AS488" t="s">
        <v>5142</v>
      </c>
      <c r="AT488" t="s">
        <v>6896</v>
      </c>
      <c r="AU488">
        <v>2002</v>
      </c>
      <c r="AV488">
        <v>191</v>
      </c>
      <c r="AW488" t="s">
        <v>1866</v>
      </c>
      <c r="AX488" t="s">
        <v>74</v>
      </c>
      <c r="AY488" t="s">
        <v>74</v>
      </c>
      <c r="AZ488" t="s">
        <v>74</v>
      </c>
      <c r="BA488" t="s">
        <v>74</v>
      </c>
      <c r="BB488">
        <v>37</v>
      </c>
      <c r="BC488">
        <v>54</v>
      </c>
      <c r="BD488" t="s">
        <v>6911</v>
      </c>
      <c r="BE488" t="s">
        <v>6912</v>
      </c>
      <c r="BF488" t="str">
        <f>HYPERLINK("http://dx.doi.org/10.1016/S0025-3227(02)00508-X","http://dx.doi.org/10.1016/S0025-3227(02)00508-X")</f>
        <v>http://dx.doi.org/10.1016/S0025-3227(02)00508-X</v>
      </c>
      <c r="BG488" t="s">
        <v>74</v>
      </c>
      <c r="BH488" t="s">
        <v>74</v>
      </c>
      <c r="BI488">
        <v>18</v>
      </c>
      <c r="BJ488" t="s">
        <v>5146</v>
      </c>
      <c r="BK488" t="s">
        <v>569</v>
      </c>
      <c r="BL488" t="s">
        <v>5147</v>
      </c>
      <c r="BM488" t="s">
        <v>6899</v>
      </c>
      <c r="BN488" t="s">
        <v>74</v>
      </c>
      <c r="BO488" t="s">
        <v>74</v>
      </c>
      <c r="BP488" t="s">
        <v>74</v>
      </c>
      <c r="BQ488" t="s">
        <v>74</v>
      </c>
      <c r="BR488" t="s">
        <v>98</v>
      </c>
      <c r="BS488" t="s">
        <v>6913</v>
      </c>
      <c r="BT488" t="str">
        <f>HYPERLINK("https%3A%2F%2Fwww.webofscience.com%2Fwos%2Fwoscc%2Ffull-record%2FWOS:000179008200003","View Full Record in Web of Science")</f>
        <v>View Full Record in Web of Science</v>
      </c>
    </row>
    <row r="489" spans="1:72" x14ac:dyDescent="0.15">
      <c r="A489" t="s">
        <v>552</v>
      </c>
      <c r="B489" t="s">
        <v>6914</v>
      </c>
      <c r="C489" t="s">
        <v>74</v>
      </c>
      <c r="D489" t="s">
        <v>74</v>
      </c>
      <c r="E489" t="s">
        <v>74</v>
      </c>
      <c r="F489" t="s">
        <v>6914</v>
      </c>
      <c r="G489" t="s">
        <v>74</v>
      </c>
      <c r="H489" t="s">
        <v>74</v>
      </c>
      <c r="I489" t="s">
        <v>6915</v>
      </c>
      <c r="J489" t="s">
        <v>5130</v>
      </c>
      <c r="K489" t="s">
        <v>74</v>
      </c>
      <c r="L489" t="s">
        <v>74</v>
      </c>
      <c r="M489" t="s">
        <v>78</v>
      </c>
      <c r="N489" t="s">
        <v>775</v>
      </c>
      <c r="O489" t="s">
        <v>74</v>
      </c>
      <c r="P489" t="s">
        <v>74</v>
      </c>
      <c r="Q489" t="s">
        <v>74</v>
      </c>
      <c r="R489" t="s">
        <v>74</v>
      </c>
      <c r="S489" t="s">
        <v>74</v>
      </c>
      <c r="T489" t="s">
        <v>6916</v>
      </c>
      <c r="U489" t="s">
        <v>6917</v>
      </c>
      <c r="V489" t="s">
        <v>6918</v>
      </c>
      <c r="W489" t="s">
        <v>6919</v>
      </c>
      <c r="X489" t="s">
        <v>6920</v>
      </c>
      <c r="Y489" t="s">
        <v>6921</v>
      </c>
      <c r="Z489" t="s">
        <v>74</v>
      </c>
      <c r="AA489" t="s">
        <v>74</v>
      </c>
      <c r="AB489" t="s">
        <v>74</v>
      </c>
      <c r="AC489" t="s">
        <v>74</v>
      </c>
      <c r="AD489" t="s">
        <v>74</v>
      </c>
      <c r="AE489" t="s">
        <v>74</v>
      </c>
      <c r="AF489" t="s">
        <v>74</v>
      </c>
      <c r="AG489">
        <v>28</v>
      </c>
      <c r="AH489">
        <v>7</v>
      </c>
      <c r="AI489">
        <v>7</v>
      </c>
      <c r="AJ489">
        <v>0</v>
      </c>
      <c r="AK489">
        <v>8</v>
      </c>
      <c r="AL489" t="s">
        <v>1860</v>
      </c>
      <c r="AM489" t="s">
        <v>1861</v>
      </c>
      <c r="AN489" t="s">
        <v>1862</v>
      </c>
      <c r="AO489" t="s">
        <v>5139</v>
      </c>
      <c r="AP489" t="s">
        <v>74</v>
      </c>
      <c r="AQ489" t="s">
        <v>74</v>
      </c>
      <c r="AR489" t="s">
        <v>5141</v>
      </c>
      <c r="AS489" t="s">
        <v>5142</v>
      </c>
      <c r="AT489" t="s">
        <v>6896</v>
      </c>
      <c r="AU489">
        <v>2002</v>
      </c>
      <c r="AV489">
        <v>191</v>
      </c>
      <c r="AW489" t="s">
        <v>1866</v>
      </c>
      <c r="AX489" t="s">
        <v>74</v>
      </c>
      <c r="AY489" t="s">
        <v>74</v>
      </c>
      <c r="AZ489" t="s">
        <v>74</v>
      </c>
      <c r="BA489" t="s">
        <v>74</v>
      </c>
      <c r="BB489">
        <v>55</v>
      </c>
      <c r="BC489">
        <v>69</v>
      </c>
      <c r="BD489" t="s">
        <v>6922</v>
      </c>
      <c r="BE489" t="s">
        <v>6923</v>
      </c>
      <c r="BF489" t="str">
        <f>HYPERLINK("http://dx.doi.org/10.1016/S0025-3227(02)00498-X","http://dx.doi.org/10.1016/S0025-3227(02)00498-X")</f>
        <v>http://dx.doi.org/10.1016/S0025-3227(02)00498-X</v>
      </c>
      <c r="BG489" t="s">
        <v>74</v>
      </c>
      <c r="BH489" t="s">
        <v>74</v>
      </c>
      <c r="BI489">
        <v>15</v>
      </c>
      <c r="BJ489" t="s">
        <v>5146</v>
      </c>
      <c r="BK489" t="s">
        <v>569</v>
      </c>
      <c r="BL489" t="s">
        <v>5147</v>
      </c>
      <c r="BM489" t="s">
        <v>6899</v>
      </c>
      <c r="BN489" t="s">
        <v>74</v>
      </c>
      <c r="BO489" t="s">
        <v>74</v>
      </c>
      <c r="BP489" t="s">
        <v>74</v>
      </c>
      <c r="BQ489" t="s">
        <v>74</v>
      </c>
      <c r="BR489" t="s">
        <v>98</v>
      </c>
      <c r="BS489" t="s">
        <v>6924</v>
      </c>
      <c r="BT489" t="str">
        <f>HYPERLINK("https%3A%2F%2Fwww.webofscience.com%2Fwos%2Fwoscc%2Ffull-record%2FWOS:000179008200004","View Full Record in Web of Science")</f>
        <v>View Full Record in Web of Science</v>
      </c>
    </row>
    <row r="490" spans="1:72" x14ac:dyDescent="0.15">
      <c r="A490" t="s">
        <v>552</v>
      </c>
      <c r="B490" t="s">
        <v>6925</v>
      </c>
      <c r="C490" t="s">
        <v>74</v>
      </c>
      <c r="D490" t="s">
        <v>74</v>
      </c>
      <c r="E490" t="s">
        <v>74</v>
      </c>
      <c r="F490" t="s">
        <v>6925</v>
      </c>
      <c r="G490" t="s">
        <v>74</v>
      </c>
      <c r="H490" t="s">
        <v>74</v>
      </c>
      <c r="I490" t="s">
        <v>6926</v>
      </c>
      <c r="J490" t="s">
        <v>6844</v>
      </c>
      <c r="K490" t="s">
        <v>74</v>
      </c>
      <c r="L490" t="s">
        <v>74</v>
      </c>
      <c r="M490" t="s">
        <v>78</v>
      </c>
      <c r="N490" t="s">
        <v>6927</v>
      </c>
      <c r="O490" t="s">
        <v>74</v>
      </c>
      <c r="P490" t="s">
        <v>74</v>
      </c>
      <c r="Q490" t="s">
        <v>74</v>
      </c>
      <c r="R490" t="s">
        <v>74</v>
      </c>
      <c r="S490" t="s">
        <v>74</v>
      </c>
      <c r="T490" t="s">
        <v>74</v>
      </c>
      <c r="U490" t="s">
        <v>74</v>
      </c>
      <c r="V490" t="s">
        <v>74</v>
      </c>
      <c r="W490" t="s">
        <v>74</v>
      </c>
      <c r="X490" t="s">
        <v>74</v>
      </c>
      <c r="Y490" t="s">
        <v>74</v>
      </c>
      <c r="Z490" t="s">
        <v>74</v>
      </c>
      <c r="AA490" t="s">
        <v>74</v>
      </c>
      <c r="AB490" t="s">
        <v>74</v>
      </c>
      <c r="AC490" t="s">
        <v>74</v>
      </c>
      <c r="AD490" t="s">
        <v>74</v>
      </c>
      <c r="AE490" t="s">
        <v>74</v>
      </c>
      <c r="AF490" t="s">
        <v>74</v>
      </c>
      <c r="AG490">
        <v>1</v>
      </c>
      <c r="AH490">
        <v>0</v>
      </c>
      <c r="AI490">
        <v>0</v>
      </c>
      <c r="AJ490">
        <v>0</v>
      </c>
      <c r="AK490">
        <v>0</v>
      </c>
      <c r="AL490" t="s">
        <v>6928</v>
      </c>
      <c r="AM490" t="s">
        <v>2113</v>
      </c>
      <c r="AN490" t="s">
        <v>6929</v>
      </c>
      <c r="AO490" t="s">
        <v>6848</v>
      </c>
      <c r="AP490" t="s">
        <v>74</v>
      </c>
      <c r="AQ490" t="s">
        <v>74</v>
      </c>
      <c r="AR490" t="s">
        <v>6849</v>
      </c>
      <c r="AS490" t="s">
        <v>6850</v>
      </c>
      <c r="AT490" t="s">
        <v>6930</v>
      </c>
      <c r="AU490">
        <v>2002</v>
      </c>
      <c r="AV490">
        <v>176</v>
      </c>
      <c r="AW490">
        <v>2369</v>
      </c>
      <c r="AX490" t="s">
        <v>74</v>
      </c>
      <c r="AY490" t="s">
        <v>74</v>
      </c>
      <c r="AZ490" t="s">
        <v>74</v>
      </c>
      <c r="BA490" t="s">
        <v>74</v>
      </c>
      <c r="BB490">
        <v>17</v>
      </c>
      <c r="BC490">
        <v>17</v>
      </c>
      <c r="BD490" t="s">
        <v>74</v>
      </c>
      <c r="BE490" t="s">
        <v>74</v>
      </c>
      <c r="BF490" t="s">
        <v>74</v>
      </c>
      <c r="BG490" t="s">
        <v>74</v>
      </c>
      <c r="BH490" t="s">
        <v>74</v>
      </c>
      <c r="BI490">
        <v>1</v>
      </c>
      <c r="BJ490" t="s">
        <v>5596</v>
      </c>
      <c r="BK490" t="s">
        <v>569</v>
      </c>
      <c r="BL490" t="s">
        <v>5597</v>
      </c>
      <c r="BM490" t="s">
        <v>6931</v>
      </c>
      <c r="BN490" t="s">
        <v>74</v>
      </c>
      <c r="BO490" t="s">
        <v>74</v>
      </c>
      <c r="BP490" t="s">
        <v>74</v>
      </c>
      <c r="BQ490" t="s">
        <v>74</v>
      </c>
      <c r="BR490" t="s">
        <v>98</v>
      </c>
      <c r="BS490" t="s">
        <v>6932</v>
      </c>
      <c r="BT490" t="str">
        <f>HYPERLINK("https%3A%2F%2Fwww.webofscience.com%2Fwos%2Fwoscc%2Ffull-record%2FWOS:000179314900018","View Full Record in Web of Science")</f>
        <v>View Full Record in Web of Science</v>
      </c>
    </row>
    <row r="491" spans="1:72" x14ac:dyDescent="0.15">
      <c r="A491" t="s">
        <v>552</v>
      </c>
      <c r="B491" t="s">
        <v>6933</v>
      </c>
      <c r="C491" t="s">
        <v>74</v>
      </c>
      <c r="D491" t="s">
        <v>74</v>
      </c>
      <c r="E491" t="s">
        <v>74</v>
      </c>
      <c r="F491" t="s">
        <v>6933</v>
      </c>
      <c r="G491" t="s">
        <v>74</v>
      </c>
      <c r="H491" t="s">
        <v>74</v>
      </c>
      <c r="I491" t="s">
        <v>6934</v>
      </c>
      <c r="J491" t="s">
        <v>6935</v>
      </c>
      <c r="K491" t="s">
        <v>74</v>
      </c>
      <c r="L491" t="s">
        <v>74</v>
      </c>
      <c r="M491" t="s">
        <v>78</v>
      </c>
      <c r="N491" t="s">
        <v>775</v>
      </c>
      <c r="O491" t="s">
        <v>74</v>
      </c>
      <c r="P491" t="s">
        <v>74</v>
      </c>
      <c r="Q491" t="s">
        <v>74</v>
      </c>
      <c r="R491" t="s">
        <v>74</v>
      </c>
      <c r="S491" t="s">
        <v>74</v>
      </c>
      <c r="T491" t="s">
        <v>6936</v>
      </c>
      <c r="U491" t="s">
        <v>6937</v>
      </c>
      <c r="V491" t="s">
        <v>6938</v>
      </c>
      <c r="W491" t="s">
        <v>6284</v>
      </c>
      <c r="X491" t="s">
        <v>6285</v>
      </c>
      <c r="Y491" t="s">
        <v>2613</v>
      </c>
      <c r="Z491" t="s">
        <v>74</v>
      </c>
      <c r="AA491" t="s">
        <v>6939</v>
      </c>
      <c r="AB491" t="s">
        <v>6940</v>
      </c>
      <c r="AC491" t="s">
        <v>74</v>
      </c>
      <c r="AD491" t="s">
        <v>74</v>
      </c>
      <c r="AE491" t="s">
        <v>74</v>
      </c>
      <c r="AF491" t="s">
        <v>74</v>
      </c>
      <c r="AG491">
        <v>34</v>
      </c>
      <c r="AH491">
        <v>29</v>
      </c>
      <c r="AI491">
        <v>31</v>
      </c>
      <c r="AJ491">
        <v>0</v>
      </c>
      <c r="AK491">
        <v>8</v>
      </c>
      <c r="AL491" t="s">
        <v>4649</v>
      </c>
      <c r="AM491" t="s">
        <v>2542</v>
      </c>
      <c r="AN491" t="s">
        <v>4650</v>
      </c>
      <c r="AO491" t="s">
        <v>6941</v>
      </c>
      <c r="AP491" t="s">
        <v>74</v>
      </c>
      <c r="AQ491" t="s">
        <v>74</v>
      </c>
      <c r="AR491" t="s">
        <v>6942</v>
      </c>
      <c r="AS491" t="s">
        <v>6943</v>
      </c>
      <c r="AT491" t="s">
        <v>6944</v>
      </c>
      <c r="AU491">
        <v>2002</v>
      </c>
      <c r="AV491">
        <v>298</v>
      </c>
      <c r="AW491">
        <v>5</v>
      </c>
      <c r="AX491" t="s">
        <v>74</v>
      </c>
      <c r="AY491" t="s">
        <v>74</v>
      </c>
      <c r="AZ491" t="s">
        <v>74</v>
      </c>
      <c r="BA491" t="s">
        <v>74</v>
      </c>
      <c r="BB491">
        <v>632</v>
      </c>
      <c r="BC491">
        <v>637</v>
      </c>
      <c r="BD491" t="s">
        <v>6945</v>
      </c>
      <c r="BE491" t="s">
        <v>6946</v>
      </c>
      <c r="BF491" t="str">
        <f>HYPERLINK("http://dx.doi.org/10.1016/S0006-291X(02)02523-8","http://dx.doi.org/10.1016/S0006-291X(02)02523-8")</f>
        <v>http://dx.doi.org/10.1016/S0006-291X(02)02523-8</v>
      </c>
      <c r="BG491" t="s">
        <v>74</v>
      </c>
      <c r="BH491" t="s">
        <v>74</v>
      </c>
      <c r="BI491">
        <v>6</v>
      </c>
      <c r="BJ491" t="s">
        <v>4330</v>
      </c>
      <c r="BK491" t="s">
        <v>569</v>
      </c>
      <c r="BL491" t="s">
        <v>4330</v>
      </c>
      <c r="BM491" t="s">
        <v>6947</v>
      </c>
      <c r="BN491">
        <v>12419301</v>
      </c>
      <c r="BO491" t="s">
        <v>74</v>
      </c>
      <c r="BP491" t="s">
        <v>74</v>
      </c>
      <c r="BQ491" t="s">
        <v>74</v>
      </c>
      <c r="BR491" t="s">
        <v>98</v>
      </c>
      <c r="BS491" t="s">
        <v>6948</v>
      </c>
      <c r="BT491" t="str">
        <f>HYPERLINK("https%3A%2F%2Fwww.webofscience.com%2Fwos%2Fwoscc%2Ffull-record%2FWOS:000179374500002","View Full Record in Web of Science")</f>
        <v>View Full Record in Web of Science</v>
      </c>
    </row>
    <row r="492" spans="1:72" x14ac:dyDescent="0.15">
      <c r="A492" t="s">
        <v>552</v>
      </c>
      <c r="B492" t="s">
        <v>6949</v>
      </c>
      <c r="C492" t="s">
        <v>74</v>
      </c>
      <c r="D492" t="s">
        <v>74</v>
      </c>
      <c r="E492" t="s">
        <v>74</v>
      </c>
      <c r="F492" t="s">
        <v>6949</v>
      </c>
      <c r="G492" t="s">
        <v>74</v>
      </c>
      <c r="H492" t="s">
        <v>74</v>
      </c>
      <c r="I492" t="s">
        <v>6950</v>
      </c>
      <c r="J492" t="s">
        <v>6799</v>
      </c>
      <c r="K492" t="s">
        <v>74</v>
      </c>
      <c r="L492" t="s">
        <v>74</v>
      </c>
      <c r="M492" t="s">
        <v>78</v>
      </c>
      <c r="N492" t="s">
        <v>775</v>
      </c>
      <c r="O492" t="s">
        <v>74</v>
      </c>
      <c r="P492" t="s">
        <v>74</v>
      </c>
      <c r="Q492" t="s">
        <v>74</v>
      </c>
      <c r="R492" t="s">
        <v>74</v>
      </c>
      <c r="S492" t="s">
        <v>74</v>
      </c>
      <c r="T492" t="s">
        <v>6951</v>
      </c>
      <c r="U492" t="s">
        <v>6952</v>
      </c>
      <c r="V492" t="s">
        <v>6953</v>
      </c>
      <c r="W492" t="s">
        <v>6954</v>
      </c>
      <c r="X492" t="s">
        <v>6955</v>
      </c>
      <c r="Y492" t="s">
        <v>6956</v>
      </c>
      <c r="Z492" t="s">
        <v>6957</v>
      </c>
      <c r="AA492" t="s">
        <v>6958</v>
      </c>
      <c r="AB492" t="s">
        <v>6959</v>
      </c>
      <c r="AC492" t="s">
        <v>74</v>
      </c>
      <c r="AD492" t="s">
        <v>74</v>
      </c>
      <c r="AE492" t="s">
        <v>74</v>
      </c>
      <c r="AF492" t="s">
        <v>74</v>
      </c>
      <c r="AG492">
        <v>31</v>
      </c>
      <c r="AH492">
        <v>11</v>
      </c>
      <c r="AI492">
        <v>11</v>
      </c>
      <c r="AJ492">
        <v>0</v>
      </c>
      <c r="AK492">
        <v>2</v>
      </c>
      <c r="AL492" t="s">
        <v>3155</v>
      </c>
      <c r="AM492" t="s">
        <v>1861</v>
      </c>
      <c r="AN492" t="s">
        <v>3156</v>
      </c>
      <c r="AO492" t="s">
        <v>6808</v>
      </c>
      <c r="AP492" t="s">
        <v>6825</v>
      </c>
      <c r="AQ492" t="s">
        <v>74</v>
      </c>
      <c r="AR492" t="s">
        <v>6809</v>
      </c>
      <c r="AS492" t="s">
        <v>6810</v>
      </c>
      <c r="AT492" t="s">
        <v>6944</v>
      </c>
      <c r="AU492">
        <v>2002</v>
      </c>
      <c r="AV492">
        <v>203</v>
      </c>
      <c r="AW492" t="s">
        <v>1424</v>
      </c>
      <c r="AX492" t="s">
        <v>74</v>
      </c>
      <c r="AY492" t="s">
        <v>74</v>
      </c>
      <c r="AZ492" t="s">
        <v>74</v>
      </c>
      <c r="BA492" t="s">
        <v>74</v>
      </c>
      <c r="BB492">
        <v>925</v>
      </c>
      <c r="BC492">
        <v>935</v>
      </c>
      <c r="BD492" t="s">
        <v>6960</v>
      </c>
      <c r="BE492" t="s">
        <v>6961</v>
      </c>
      <c r="BF492" t="str">
        <f>HYPERLINK("http://dx.doi.org/10.1016/S0012-821X(02)00948-2","http://dx.doi.org/10.1016/S0012-821X(02)00948-2")</f>
        <v>http://dx.doi.org/10.1016/S0012-821X(02)00948-2</v>
      </c>
      <c r="BG492" t="s">
        <v>74</v>
      </c>
      <c r="BH492" t="s">
        <v>74</v>
      </c>
      <c r="BI492">
        <v>11</v>
      </c>
      <c r="BJ492" t="s">
        <v>2068</v>
      </c>
      <c r="BK492" t="s">
        <v>569</v>
      </c>
      <c r="BL492" t="s">
        <v>2068</v>
      </c>
      <c r="BM492" t="s">
        <v>6962</v>
      </c>
      <c r="BN492" t="s">
        <v>74</v>
      </c>
      <c r="BO492" t="s">
        <v>794</v>
      </c>
      <c r="BP492" t="s">
        <v>74</v>
      </c>
      <c r="BQ492" t="s">
        <v>74</v>
      </c>
      <c r="BR492" t="s">
        <v>98</v>
      </c>
      <c r="BS492" t="s">
        <v>6963</v>
      </c>
      <c r="BT492" t="str">
        <f>HYPERLINK("https%3A%2F%2Fwww.webofscience.com%2Fwos%2Fwoscc%2Ffull-record%2FWOS:000179176400011","View Full Record in Web of Science")</f>
        <v>View Full Record in Web of Science</v>
      </c>
    </row>
    <row r="493" spans="1:72" x14ac:dyDescent="0.15">
      <c r="A493" t="s">
        <v>552</v>
      </c>
      <c r="B493" t="s">
        <v>6964</v>
      </c>
      <c r="C493" t="s">
        <v>74</v>
      </c>
      <c r="D493" t="s">
        <v>74</v>
      </c>
      <c r="E493" t="s">
        <v>74</v>
      </c>
      <c r="F493" t="s">
        <v>6964</v>
      </c>
      <c r="G493" t="s">
        <v>74</v>
      </c>
      <c r="H493" t="s">
        <v>74</v>
      </c>
      <c r="I493" t="s">
        <v>6965</v>
      </c>
      <c r="J493" t="s">
        <v>5162</v>
      </c>
      <c r="K493" t="s">
        <v>74</v>
      </c>
      <c r="L493" t="s">
        <v>74</v>
      </c>
      <c r="M493" t="s">
        <v>78</v>
      </c>
      <c r="N493" t="s">
        <v>775</v>
      </c>
      <c r="O493" t="s">
        <v>74</v>
      </c>
      <c r="P493" t="s">
        <v>74</v>
      </c>
      <c r="Q493" t="s">
        <v>74</v>
      </c>
      <c r="R493" t="s">
        <v>74</v>
      </c>
      <c r="S493" t="s">
        <v>74</v>
      </c>
      <c r="T493" t="s">
        <v>74</v>
      </c>
      <c r="U493" t="s">
        <v>6966</v>
      </c>
      <c r="V493" t="s">
        <v>6967</v>
      </c>
      <c r="W493" t="s">
        <v>6968</v>
      </c>
      <c r="X493" t="s">
        <v>6969</v>
      </c>
      <c r="Y493" t="s">
        <v>6970</v>
      </c>
      <c r="Z493" t="s">
        <v>74</v>
      </c>
      <c r="AA493" t="s">
        <v>6971</v>
      </c>
      <c r="AB493" t="s">
        <v>6972</v>
      </c>
      <c r="AC493" t="s">
        <v>74</v>
      </c>
      <c r="AD493" t="s">
        <v>74</v>
      </c>
      <c r="AE493" t="s">
        <v>74</v>
      </c>
      <c r="AF493" t="s">
        <v>74</v>
      </c>
      <c r="AG493">
        <v>28</v>
      </c>
      <c r="AH493">
        <v>34</v>
      </c>
      <c r="AI493">
        <v>34</v>
      </c>
      <c r="AJ493">
        <v>0</v>
      </c>
      <c r="AK493">
        <v>5</v>
      </c>
      <c r="AL493" t="s">
        <v>387</v>
      </c>
      <c r="AM493" t="s">
        <v>388</v>
      </c>
      <c r="AN493" t="s">
        <v>389</v>
      </c>
      <c r="AO493" t="s">
        <v>5169</v>
      </c>
      <c r="AP493" t="s">
        <v>5170</v>
      </c>
      <c r="AQ493" t="s">
        <v>74</v>
      </c>
      <c r="AR493" t="s">
        <v>5171</v>
      </c>
      <c r="AS493" t="s">
        <v>5172</v>
      </c>
      <c r="AT493" t="s">
        <v>6944</v>
      </c>
      <c r="AU493">
        <v>2002</v>
      </c>
      <c r="AV493">
        <v>29</v>
      </c>
      <c r="AW493">
        <v>22</v>
      </c>
      <c r="AX493" t="s">
        <v>74</v>
      </c>
      <c r="AY493" t="s">
        <v>74</v>
      </c>
      <c r="AZ493" t="s">
        <v>74</v>
      </c>
      <c r="BA493" t="s">
        <v>74</v>
      </c>
      <c r="BB493" t="s">
        <v>74</v>
      </c>
      <c r="BC493" t="s">
        <v>74</v>
      </c>
      <c r="BD493">
        <v>2078</v>
      </c>
      <c r="BE493" t="s">
        <v>6973</v>
      </c>
      <c r="BF493" t="str">
        <f>HYPERLINK("http://dx.doi.org/10.1029/2002GL016054","http://dx.doi.org/10.1029/2002GL016054")</f>
        <v>http://dx.doi.org/10.1029/2002GL016054</v>
      </c>
      <c r="BG493" t="s">
        <v>74</v>
      </c>
      <c r="BH493" t="s">
        <v>74</v>
      </c>
      <c r="BI493">
        <v>4</v>
      </c>
      <c r="BJ493" t="s">
        <v>1813</v>
      </c>
      <c r="BK493" t="s">
        <v>569</v>
      </c>
      <c r="BL493" t="s">
        <v>1814</v>
      </c>
      <c r="BM493" t="s">
        <v>6974</v>
      </c>
      <c r="BN493" t="s">
        <v>74</v>
      </c>
      <c r="BO493" t="s">
        <v>6975</v>
      </c>
      <c r="BP493" t="s">
        <v>74</v>
      </c>
      <c r="BQ493" t="s">
        <v>74</v>
      </c>
      <c r="BR493" t="s">
        <v>98</v>
      </c>
      <c r="BS493" t="s">
        <v>6976</v>
      </c>
      <c r="BT493" t="str">
        <f>HYPERLINK("https%3A%2F%2Fwww.webofscience.com%2Fwos%2Fwoscc%2Ffull-record%2FWOS:000180617000034","View Full Record in Web of Science")</f>
        <v>View Full Record in Web of Science</v>
      </c>
    </row>
    <row r="494" spans="1:72" x14ac:dyDescent="0.15">
      <c r="A494" t="s">
        <v>552</v>
      </c>
      <c r="B494" t="s">
        <v>6977</v>
      </c>
      <c r="C494" t="s">
        <v>74</v>
      </c>
      <c r="D494" t="s">
        <v>74</v>
      </c>
      <c r="E494" t="s">
        <v>74</v>
      </c>
      <c r="F494" t="s">
        <v>6977</v>
      </c>
      <c r="G494" t="s">
        <v>74</v>
      </c>
      <c r="H494" t="s">
        <v>74</v>
      </c>
      <c r="I494" t="s">
        <v>6978</v>
      </c>
      <c r="J494" t="s">
        <v>5162</v>
      </c>
      <c r="K494" t="s">
        <v>74</v>
      </c>
      <c r="L494" t="s">
        <v>74</v>
      </c>
      <c r="M494" t="s">
        <v>78</v>
      </c>
      <c r="N494" t="s">
        <v>775</v>
      </c>
      <c r="O494" t="s">
        <v>74</v>
      </c>
      <c r="P494" t="s">
        <v>74</v>
      </c>
      <c r="Q494" t="s">
        <v>74</v>
      </c>
      <c r="R494" t="s">
        <v>74</v>
      </c>
      <c r="S494" t="s">
        <v>74</v>
      </c>
      <c r="T494" t="s">
        <v>74</v>
      </c>
      <c r="U494" t="s">
        <v>6979</v>
      </c>
      <c r="V494" t="s">
        <v>6980</v>
      </c>
      <c r="W494" t="s">
        <v>6981</v>
      </c>
      <c r="X494" t="s">
        <v>6982</v>
      </c>
      <c r="Y494" t="s">
        <v>6983</v>
      </c>
      <c r="Z494" t="s">
        <v>74</v>
      </c>
      <c r="AA494" t="s">
        <v>6984</v>
      </c>
      <c r="AB494" t="s">
        <v>6985</v>
      </c>
      <c r="AC494" t="s">
        <v>74</v>
      </c>
      <c r="AD494" t="s">
        <v>74</v>
      </c>
      <c r="AE494" t="s">
        <v>74</v>
      </c>
      <c r="AF494" t="s">
        <v>74</v>
      </c>
      <c r="AG494">
        <v>26</v>
      </c>
      <c r="AH494">
        <v>40</v>
      </c>
      <c r="AI494">
        <v>44</v>
      </c>
      <c r="AJ494">
        <v>0</v>
      </c>
      <c r="AK494">
        <v>12</v>
      </c>
      <c r="AL494" t="s">
        <v>387</v>
      </c>
      <c r="AM494" t="s">
        <v>388</v>
      </c>
      <c r="AN494" t="s">
        <v>389</v>
      </c>
      <c r="AO494" t="s">
        <v>5169</v>
      </c>
      <c r="AP494" t="s">
        <v>74</v>
      </c>
      <c r="AQ494" t="s">
        <v>74</v>
      </c>
      <c r="AR494" t="s">
        <v>5171</v>
      </c>
      <c r="AS494" t="s">
        <v>5172</v>
      </c>
      <c r="AT494" t="s">
        <v>6944</v>
      </c>
      <c r="AU494">
        <v>2002</v>
      </c>
      <c r="AV494">
        <v>29</v>
      </c>
      <c r="AW494">
        <v>22</v>
      </c>
      <c r="AX494" t="s">
        <v>74</v>
      </c>
      <c r="AY494" t="s">
        <v>74</v>
      </c>
      <c r="AZ494" t="s">
        <v>74</v>
      </c>
      <c r="BA494" t="s">
        <v>74</v>
      </c>
      <c r="BB494" t="s">
        <v>74</v>
      </c>
      <c r="BC494" t="s">
        <v>74</v>
      </c>
      <c r="BD494">
        <v>2085</v>
      </c>
      <c r="BE494" t="s">
        <v>6986</v>
      </c>
      <c r="BF494" t="str">
        <f>HYPERLINK("http://dx.doi.org/10.1029/2002GL015656","http://dx.doi.org/10.1029/2002GL015656")</f>
        <v>http://dx.doi.org/10.1029/2002GL015656</v>
      </c>
      <c r="BG494" t="s">
        <v>74</v>
      </c>
      <c r="BH494" t="s">
        <v>74</v>
      </c>
      <c r="BI494">
        <v>4</v>
      </c>
      <c r="BJ494" t="s">
        <v>1813</v>
      </c>
      <c r="BK494" t="s">
        <v>569</v>
      </c>
      <c r="BL494" t="s">
        <v>1814</v>
      </c>
      <c r="BM494" t="s">
        <v>6974</v>
      </c>
      <c r="BN494" t="s">
        <v>74</v>
      </c>
      <c r="BO494" t="s">
        <v>572</v>
      </c>
      <c r="BP494" t="s">
        <v>74</v>
      </c>
      <c r="BQ494" t="s">
        <v>74</v>
      </c>
      <c r="BR494" t="s">
        <v>98</v>
      </c>
      <c r="BS494" t="s">
        <v>6987</v>
      </c>
      <c r="BT494" t="str">
        <f>HYPERLINK("https%3A%2F%2Fwww.webofscience.com%2Fwos%2Fwoscc%2Ffull-record%2FWOS:000180617000042","View Full Record in Web of Science")</f>
        <v>View Full Record in Web of Science</v>
      </c>
    </row>
    <row r="495" spans="1:72" x14ac:dyDescent="0.15">
      <c r="A495" t="s">
        <v>552</v>
      </c>
      <c r="B495" t="s">
        <v>6988</v>
      </c>
      <c r="C495" t="s">
        <v>74</v>
      </c>
      <c r="D495" t="s">
        <v>74</v>
      </c>
      <c r="E495" t="s">
        <v>74</v>
      </c>
      <c r="F495" t="s">
        <v>6988</v>
      </c>
      <c r="G495" t="s">
        <v>74</v>
      </c>
      <c r="H495" t="s">
        <v>74</v>
      </c>
      <c r="I495" t="s">
        <v>6989</v>
      </c>
      <c r="J495" t="s">
        <v>6990</v>
      </c>
      <c r="K495" t="s">
        <v>74</v>
      </c>
      <c r="L495" t="s">
        <v>74</v>
      </c>
      <c r="M495" t="s">
        <v>78</v>
      </c>
      <c r="N495" t="s">
        <v>576</v>
      </c>
      <c r="O495" t="s">
        <v>6991</v>
      </c>
      <c r="P495" t="s">
        <v>6992</v>
      </c>
      <c r="Q495" t="s">
        <v>6993</v>
      </c>
      <c r="R495" t="s">
        <v>74</v>
      </c>
      <c r="S495" t="s">
        <v>74</v>
      </c>
      <c r="T495" t="s">
        <v>6994</v>
      </c>
      <c r="U495" t="s">
        <v>6995</v>
      </c>
      <c r="V495" t="s">
        <v>6996</v>
      </c>
      <c r="W495" t="s">
        <v>6997</v>
      </c>
      <c r="X495" t="s">
        <v>6998</v>
      </c>
      <c r="Y495" t="s">
        <v>6999</v>
      </c>
      <c r="Z495" t="s">
        <v>7000</v>
      </c>
      <c r="AA495" t="s">
        <v>7001</v>
      </c>
      <c r="AB495" t="s">
        <v>74</v>
      </c>
      <c r="AC495" t="s">
        <v>74</v>
      </c>
      <c r="AD495" t="s">
        <v>74</v>
      </c>
      <c r="AE495" t="s">
        <v>74</v>
      </c>
      <c r="AF495" t="s">
        <v>74</v>
      </c>
      <c r="AG495">
        <v>89</v>
      </c>
      <c r="AH495">
        <v>137</v>
      </c>
      <c r="AI495">
        <v>151</v>
      </c>
      <c r="AJ495">
        <v>0</v>
      </c>
      <c r="AK495">
        <v>22</v>
      </c>
      <c r="AL495" t="s">
        <v>1860</v>
      </c>
      <c r="AM495" t="s">
        <v>1861</v>
      </c>
      <c r="AN495" t="s">
        <v>1862</v>
      </c>
      <c r="AO495" t="s">
        <v>7002</v>
      </c>
      <c r="AP495" t="s">
        <v>74</v>
      </c>
      <c r="AQ495" t="s">
        <v>74</v>
      </c>
      <c r="AR495" t="s">
        <v>7003</v>
      </c>
      <c r="AS495" t="s">
        <v>7004</v>
      </c>
      <c r="AT495" t="s">
        <v>6944</v>
      </c>
      <c r="AU495">
        <v>2002</v>
      </c>
      <c r="AV495">
        <v>37</v>
      </c>
      <c r="AW495" t="s">
        <v>5705</v>
      </c>
      <c r="AX495" t="s">
        <v>74</v>
      </c>
      <c r="AY495" t="s">
        <v>74</v>
      </c>
      <c r="AZ495" t="s">
        <v>74</v>
      </c>
      <c r="BA495" t="s">
        <v>74</v>
      </c>
      <c r="BB495">
        <v>69</v>
      </c>
      <c r="BC495">
        <v>86</v>
      </c>
      <c r="BD495" t="s">
        <v>7005</v>
      </c>
      <c r="BE495" t="s">
        <v>7006</v>
      </c>
      <c r="BF495" t="str">
        <f>HYPERLINK("http://dx.doi.org/10.1016/S0924-7963(02)00196-3","http://dx.doi.org/10.1016/S0924-7963(02)00196-3")</f>
        <v>http://dx.doi.org/10.1016/S0924-7963(02)00196-3</v>
      </c>
      <c r="BG495" t="s">
        <v>74</v>
      </c>
      <c r="BH495" t="s">
        <v>74</v>
      </c>
      <c r="BI495">
        <v>18</v>
      </c>
      <c r="BJ495" t="s">
        <v>7007</v>
      </c>
      <c r="BK495" t="s">
        <v>605</v>
      </c>
      <c r="BL495" t="s">
        <v>7008</v>
      </c>
      <c r="BM495" t="s">
        <v>7009</v>
      </c>
      <c r="BN495" t="s">
        <v>74</v>
      </c>
      <c r="BO495" t="s">
        <v>74</v>
      </c>
      <c r="BP495" t="s">
        <v>74</v>
      </c>
      <c r="BQ495" t="s">
        <v>74</v>
      </c>
      <c r="BR495" t="s">
        <v>98</v>
      </c>
      <c r="BS495" t="s">
        <v>7010</v>
      </c>
      <c r="BT495" t="str">
        <f>HYPERLINK("https%3A%2F%2Fwww.webofscience.com%2Fwos%2Fwoscc%2Ffull-record%2FWOS:000179377800006","View Full Record in Web of Science")</f>
        <v>View Full Record in Web of Science</v>
      </c>
    </row>
    <row r="496" spans="1:72" x14ac:dyDescent="0.15">
      <c r="A496" t="s">
        <v>552</v>
      </c>
      <c r="B496" t="s">
        <v>7011</v>
      </c>
      <c r="C496" t="s">
        <v>74</v>
      </c>
      <c r="D496" t="s">
        <v>74</v>
      </c>
      <c r="E496" t="s">
        <v>74</v>
      </c>
      <c r="F496" t="s">
        <v>7011</v>
      </c>
      <c r="G496" t="s">
        <v>74</v>
      </c>
      <c r="H496" t="s">
        <v>74</v>
      </c>
      <c r="I496" t="s">
        <v>7012</v>
      </c>
      <c r="J496" t="s">
        <v>6990</v>
      </c>
      <c r="K496" t="s">
        <v>74</v>
      </c>
      <c r="L496" t="s">
        <v>74</v>
      </c>
      <c r="M496" t="s">
        <v>78</v>
      </c>
      <c r="N496" t="s">
        <v>576</v>
      </c>
      <c r="O496" t="s">
        <v>6991</v>
      </c>
      <c r="P496" t="s">
        <v>6992</v>
      </c>
      <c r="Q496" t="s">
        <v>7013</v>
      </c>
      <c r="R496" t="s">
        <v>74</v>
      </c>
      <c r="S496" t="s">
        <v>74</v>
      </c>
      <c r="T496" t="s">
        <v>7014</v>
      </c>
      <c r="U496" t="s">
        <v>7015</v>
      </c>
      <c r="V496" t="s">
        <v>7016</v>
      </c>
      <c r="W496" t="s">
        <v>7017</v>
      </c>
      <c r="X496" t="s">
        <v>7018</v>
      </c>
      <c r="Y496" t="s">
        <v>7019</v>
      </c>
      <c r="Z496" t="s">
        <v>74</v>
      </c>
      <c r="AA496" t="s">
        <v>7020</v>
      </c>
      <c r="AB496" t="s">
        <v>7021</v>
      </c>
      <c r="AC496" t="s">
        <v>74</v>
      </c>
      <c r="AD496" t="s">
        <v>74</v>
      </c>
      <c r="AE496" t="s">
        <v>74</v>
      </c>
      <c r="AF496" t="s">
        <v>74</v>
      </c>
      <c r="AG496">
        <v>53</v>
      </c>
      <c r="AH496">
        <v>98</v>
      </c>
      <c r="AI496">
        <v>102</v>
      </c>
      <c r="AJ496">
        <v>4</v>
      </c>
      <c r="AK496">
        <v>14</v>
      </c>
      <c r="AL496" t="s">
        <v>1860</v>
      </c>
      <c r="AM496" t="s">
        <v>1861</v>
      </c>
      <c r="AN496" t="s">
        <v>1862</v>
      </c>
      <c r="AO496" t="s">
        <v>7002</v>
      </c>
      <c r="AP496" t="s">
        <v>74</v>
      </c>
      <c r="AQ496" t="s">
        <v>74</v>
      </c>
      <c r="AR496" t="s">
        <v>7003</v>
      </c>
      <c r="AS496" t="s">
        <v>7004</v>
      </c>
      <c r="AT496" t="s">
        <v>6944</v>
      </c>
      <c r="AU496">
        <v>2002</v>
      </c>
      <c r="AV496">
        <v>37</v>
      </c>
      <c r="AW496" t="s">
        <v>5705</v>
      </c>
      <c r="AX496" t="s">
        <v>74</v>
      </c>
      <c r="AY496" t="s">
        <v>74</v>
      </c>
      <c r="AZ496" t="s">
        <v>74</v>
      </c>
      <c r="BA496" t="s">
        <v>74</v>
      </c>
      <c r="BB496">
        <v>87</v>
      </c>
      <c r="BC496">
        <v>105</v>
      </c>
      <c r="BD496" t="s">
        <v>7022</v>
      </c>
      <c r="BE496" t="s">
        <v>7023</v>
      </c>
      <c r="BF496" t="str">
        <f>HYPERLINK("http://dx.doi.org/10.1016/S0924-7963(02)00197-5","http://dx.doi.org/10.1016/S0924-7963(02)00197-5")</f>
        <v>http://dx.doi.org/10.1016/S0924-7963(02)00197-5</v>
      </c>
      <c r="BG496" t="s">
        <v>74</v>
      </c>
      <c r="BH496" t="s">
        <v>74</v>
      </c>
      <c r="BI496">
        <v>19</v>
      </c>
      <c r="BJ496" t="s">
        <v>7007</v>
      </c>
      <c r="BK496" t="s">
        <v>589</v>
      </c>
      <c r="BL496" t="s">
        <v>7008</v>
      </c>
      <c r="BM496" t="s">
        <v>7009</v>
      </c>
      <c r="BN496" t="s">
        <v>74</v>
      </c>
      <c r="BO496" t="s">
        <v>74</v>
      </c>
      <c r="BP496" t="s">
        <v>74</v>
      </c>
      <c r="BQ496" t="s">
        <v>74</v>
      </c>
      <c r="BR496" t="s">
        <v>98</v>
      </c>
      <c r="BS496" t="s">
        <v>7024</v>
      </c>
      <c r="BT496" t="str">
        <f>HYPERLINK("https%3A%2F%2Fwww.webofscience.com%2Fwos%2Fwoscc%2Ffull-record%2FWOS:000179377800007","View Full Record in Web of Science")</f>
        <v>View Full Record in Web of Science</v>
      </c>
    </row>
    <row r="497" spans="1:72" x14ac:dyDescent="0.15">
      <c r="A497" t="s">
        <v>552</v>
      </c>
      <c r="B497" t="s">
        <v>7025</v>
      </c>
      <c r="C497" t="s">
        <v>74</v>
      </c>
      <c r="D497" t="s">
        <v>74</v>
      </c>
      <c r="E497" t="s">
        <v>74</v>
      </c>
      <c r="F497" t="s">
        <v>7025</v>
      </c>
      <c r="G497" t="s">
        <v>74</v>
      </c>
      <c r="H497" t="s">
        <v>74</v>
      </c>
      <c r="I497" t="s">
        <v>7026</v>
      </c>
      <c r="J497" t="s">
        <v>6990</v>
      </c>
      <c r="K497" t="s">
        <v>74</v>
      </c>
      <c r="L497" t="s">
        <v>74</v>
      </c>
      <c r="M497" t="s">
        <v>78</v>
      </c>
      <c r="N497" t="s">
        <v>576</v>
      </c>
      <c r="O497" t="s">
        <v>6991</v>
      </c>
      <c r="P497" t="s">
        <v>6992</v>
      </c>
      <c r="Q497" t="s">
        <v>6993</v>
      </c>
      <c r="R497" t="s">
        <v>74</v>
      </c>
      <c r="S497" t="s">
        <v>74</v>
      </c>
      <c r="T497" t="s">
        <v>7027</v>
      </c>
      <c r="U497" t="s">
        <v>7028</v>
      </c>
      <c r="V497" t="s">
        <v>7029</v>
      </c>
      <c r="W497" t="s">
        <v>7030</v>
      </c>
      <c r="X497" t="s">
        <v>7031</v>
      </c>
      <c r="Y497" t="s">
        <v>7032</v>
      </c>
      <c r="Z497" t="s">
        <v>7033</v>
      </c>
      <c r="AA497" t="s">
        <v>7034</v>
      </c>
      <c r="AB497" t="s">
        <v>7035</v>
      </c>
      <c r="AC497" t="s">
        <v>74</v>
      </c>
      <c r="AD497" t="s">
        <v>74</v>
      </c>
      <c r="AE497" t="s">
        <v>74</v>
      </c>
      <c r="AF497" t="s">
        <v>74</v>
      </c>
      <c r="AG497">
        <v>51</v>
      </c>
      <c r="AH497">
        <v>35</v>
      </c>
      <c r="AI497">
        <v>40</v>
      </c>
      <c r="AJ497">
        <v>0</v>
      </c>
      <c r="AK497">
        <v>3</v>
      </c>
      <c r="AL497" t="s">
        <v>1860</v>
      </c>
      <c r="AM497" t="s">
        <v>1861</v>
      </c>
      <c r="AN497" t="s">
        <v>1862</v>
      </c>
      <c r="AO497" t="s">
        <v>7002</v>
      </c>
      <c r="AP497" t="s">
        <v>74</v>
      </c>
      <c r="AQ497" t="s">
        <v>74</v>
      </c>
      <c r="AR497" t="s">
        <v>7003</v>
      </c>
      <c r="AS497" t="s">
        <v>7004</v>
      </c>
      <c r="AT497" t="s">
        <v>6944</v>
      </c>
      <c r="AU497">
        <v>2002</v>
      </c>
      <c r="AV497">
        <v>37</v>
      </c>
      <c r="AW497" t="s">
        <v>5705</v>
      </c>
      <c r="AX497" t="s">
        <v>74</v>
      </c>
      <c r="AY497" t="s">
        <v>74</v>
      </c>
      <c r="AZ497" t="s">
        <v>74</v>
      </c>
      <c r="BA497" t="s">
        <v>74</v>
      </c>
      <c r="BB497">
        <v>107</v>
      </c>
      <c r="BC497">
        <v>127</v>
      </c>
      <c r="BD497" t="s">
        <v>7036</v>
      </c>
      <c r="BE497" t="s">
        <v>7037</v>
      </c>
      <c r="BF497" t="str">
        <f>HYPERLINK("http://dx.doi.org/10.1016/S0924-7963(02)00198-7","http://dx.doi.org/10.1016/S0924-7963(02)00198-7")</f>
        <v>http://dx.doi.org/10.1016/S0924-7963(02)00198-7</v>
      </c>
      <c r="BG497" t="s">
        <v>74</v>
      </c>
      <c r="BH497" t="s">
        <v>74</v>
      </c>
      <c r="BI497">
        <v>21</v>
      </c>
      <c r="BJ497" t="s">
        <v>7007</v>
      </c>
      <c r="BK497" t="s">
        <v>605</v>
      </c>
      <c r="BL497" t="s">
        <v>7008</v>
      </c>
      <c r="BM497" t="s">
        <v>7009</v>
      </c>
      <c r="BN497" t="s">
        <v>74</v>
      </c>
      <c r="BO497" t="s">
        <v>74</v>
      </c>
      <c r="BP497" t="s">
        <v>74</v>
      </c>
      <c r="BQ497" t="s">
        <v>74</v>
      </c>
      <c r="BR497" t="s">
        <v>98</v>
      </c>
      <c r="BS497" t="s">
        <v>7038</v>
      </c>
      <c r="BT497" t="str">
        <f>HYPERLINK("https%3A%2F%2Fwww.webofscience.com%2Fwos%2Fwoscc%2Ffull-record%2FWOS:000179377800008","View Full Record in Web of Science")</f>
        <v>View Full Record in Web of Science</v>
      </c>
    </row>
    <row r="498" spans="1:72" x14ac:dyDescent="0.15">
      <c r="A498" t="s">
        <v>552</v>
      </c>
      <c r="B498" t="s">
        <v>7039</v>
      </c>
      <c r="C498" t="s">
        <v>74</v>
      </c>
      <c r="D498" t="s">
        <v>74</v>
      </c>
      <c r="E498" t="s">
        <v>74</v>
      </c>
      <c r="F498" t="s">
        <v>7039</v>
      </c>
      <c r="G498" t="s">
        <v>74</v>
      </c>
      <c r="H498" t="s">
        <v>74</v>
      </c>
      <c r="I498" t="s">
        <v>7040</v>
      </c>
      <c r="J498" t="s">
        <v>6990</v>
      </c>
      <c r="K498" t="s">
        <v>74</v>
      </c>
      <c r="L498" t="s">
        <v>74</v>
      </c>
      <c r="M498" t="s">
        <v>78</v>
      </c>
      <c r="N498" t="s">
        <v>576</v>
      </c>
      <c r="O498" t="s">
        <v>6991</v>
      </c>
      <c r="P498" t="s">
        <v>6992</v>
      </c>
      <c r="Q498" t="s">
        <v>6993</v>
      </c>
      <c r="R498" t="s">
        <v>74</v>
      </c>
      <c r="S498" t="s">
        <v>74</v>
      </c>
      <c r="T498" t="s">
        <v>7041</v>
      </c>
      <c r="U498" t="s">
        <v>7042</v>
      </c>
      <c r="V498" t="s">
        <v>7043</v>
      </c>
      <c r="W498" t="s">
        <v>7044</v>
      </c>
      <c r="X498" t="s">
        <v>6093</v>
      </c>
      <c r="Y498" t="s">
        <v>7045</v>
      </c>
      <c r="Z498" t="s">
        <v>7046</v>
      </c>
      <c r="AA498" t="s">
        <v>7047</v>
      </c>
      <c r="AB498" t="s">
        <v>7048</v>
      </c>
      <c r="AC498" t="s">
        <v>74</v>
      </c>
      <c r="AD498" t="s">
        <v>74</v>
      </c>
      <c r="AE498" t="s">
        <v>74</v>
      </c>
      <c r="AF498" t="s">
        <v>74</v>
      </c>
      <c r="AG498">
        <v>44</v>
      </c>
      <c r="AH498">
        <v>219</v>
      </c>
      <c r="AI498">
        <v>239</v>
      </c>
      <c r="AJ498">
        <v>3</v>
      </c>
      <c r="AK498">
        <v>31</v>
      </c>
      <c r="AL498" t="s">
        <v>3155</v>
      </c>
      <c r="AM498" t="s">
        <v>1861</v>
      </c>
      <c r="AN498" t="s">
        <v>3156</v>
      </c>
      <c r="AO498" t="s">
        <v>7002</v>
      </c>
      <c r="AP498" t="s">
        <v>7049</v>
      </c>
      <c r="AQ498" t="s">
        <v>74</v>
      </c>
      <c r="AR498" t="s">
        <v>7003</v>
      </c>
      <c r="AS498" t="s">
        <v>7004</v>
      </c>
      <c r="AT498" t="s">
        <v>6944</v>
      </c>
      <c r="AU498">
        <v>2002</v>
      </c>
      <c r="AV498">
        <v>37</v>
      </c>
      <c r="AW498" t="s">
        <v>5705</v>
      </c>
      <c r="AX498" t="s">
        <v>74</v>
      </c>
      <c r="AY498" t="s">
        <v>74</v>
      </c>
      <c r="AZ498" t="s">
        <v>74</v>
      </c>
      <c r="BA498" t="s">
        <v>74</v>
      </c>
      <c r="BB498">
        <v>151</v>
      </c>
      <c r="BC498">
        <v>184</v>
      </c>
      <c r="BD498" t="s">
        <v>7050</v>
      </c>
      <c r="BE498" t="s">
        <v>7051</v>
      </c>
      <c r="BF498" t="str">
        <f>HYPERLINK("http://dx.doi.org/10.1016/S0924-7963(02)00200-2","http://dx.doi.org/10.1016/S0924-7963(02)00200-2")</f>
        <v>http://dx.doi.org/10.1016/S0924-7963(02)00200-2</v>
      </c>
      <c r="BG498" t="s">
        <v>74</v>
      </c>
      <c r="BH498" t="s">
        <v>74</v>
      </c>
      <c r="BI498">
        <v>34</v>
      </c>
      <c r="BJ498" t="s">
        <v>7007</v>
      </c>
      <c r="BK498" t="s">
        <v>605</v>
      </c>
      <c r="BL498" t="s">
        <v>7008</v>
      </c>
      <c r="BM498" t="s">
        <v>7009</v>
      </c>
      <c r="BN498" t="s">
        <v>74</v>
      </c>
      <c r="BO498" t="s">
        <v>74</v>
      </c>
      <c r="BP498" t="s">
        <v>74</v>
      </c>
      <c r="BQ498" t="s">
        <v>74</v>
      </c>
      <c r="BR498" t="s">
        <v>98</v>
      </c>
      <c r="BS498" t="s">
        <v>7052</v>
      </c>
      <c r="BT498" t="str">
        <f>HYPERLINK("https%3A%2F%2Fwww.webofscience.com%2Fwos%2Fwoscc%2Ffull-record%2FWOS:000179377800010","View Full Record in Web of Science")</f>
        <v>View Full Record in Web of Science</v>
      </c>
    </row>
    <row r="499" spans="1:72" x14ac:dyDescent="0.15">
      <c r="A499" t="s">
        <v>552</v>
      </c>
      <c r="B499" t="s">
        <v>7053</v>
      </c>
      <c r="C499" t="s">
        <v>74</v>
      </c>
      <c r="D499" t="s">
        <v>74</v>
      </c>
      <c r="E499" t="s">
        <v>74</v>
      </c>
      <c r="F499" t="s">
        <v>7053</v>
      </c>
      <c r="G499" t="s">
        <v>74</v>
      </c>
      <c r="H499" t="s">
        <v>74</v>
      </c>
      <c r="I499" t="s">
        <v>7054</v>
      </c>
      <c r="J499" t="s">
        <v>7055</v>
      </c>
      <c r="K499" t="s">
        <v>74</v>
      </c>
      <c r="L499" t="s">
        <v>74</v>
      </c>
      <c r="M499" t="s">
        <v>78</v>
      </c>
      <c r="N499" t="s">
        <v>556</v>
      </c>
      <c r="O499" t="s">
        <v>74</v>
      </c>
      <c r="P499" t="s">
        <v>74</v>
      </c>
      <c r="Q499" t="s">
        <v>74</v>
      </c>
      <c r="R499" t="s">
        <v>74</v>
      </c>
      <c r="S499" t="s">
        <v>74</v>
      </c>
      <c r="T499" t="s">
        <v>74</v>
      </c>
      <c r="U499" t="s">
        <v>74</v>
      </c>
      <c r="V499" t="s">
        <v>74</v>
      </c>
      <c r="W499" t="s">
        <v>7056</v>
      </c>
      <c r="X499" t="s">
        <v>7057</v>
      </c>
      <c r="Y499" t="s">
        <v>7058</v>
      </c>
      <c r="Z499" t="s">
        <v>74</v>
      </c>
      <c r="AA499" t="s">
        <v>7059</v>
      </c>
      <c r="AB499" t="s">
        <v>7060</v>
      </c>
      <c r="AC499" t="s">
        <v>74</v>
      </c>
      <c r="AD499" t="s">
        <v>74</v>
      </c>
      <c r="AE499" t="s">
        <v>74</v>
      </c>
      <c r="AF499" t="s">
        <v>74</v>
      </c>
      <c r="AG499">
        <v>2</v>
      </c>
      <c r="AH499">
        <v>19</v>
      </c>
      <c r="AI499">
        <v>19</v>
      </c>
      <c r="AJ499">
        <v>0</v>
      </c>
      <c r="AK499">
        <v>1</v>
      </c>
      <c r="AL499" t="s">
        <v>7061</v>
      </c>
      <c r="AM499" t="s">
        <v>4365</v>
      </c>
      <c r="AN499" t="s">
        <v>4366</v>
      </c>
      <c r="AO499" t="s">
        <v>7062</v>
      </c>
      <c r="AP499" t="s">
        <v>74</v>
      </c>
      <c r="AQ499" t="s">
        <v>74</v>
      </c>
      <c r="AR499" t="s">
        <v>7063</v>
      </c>
      <c r="AS499" t="s">
        <v>7064</v>
      </c>
      <c r="AT499" t="s">
        <v>7065</v>
      </c>
      <c r="AU499">
        <v>2002</v>
      </c>
      <c r="AV499">
        <v>89</v>
      </c>
      <c r="AW499">
        <v>20</v>
      </c>
      <c r="AX499" t="s">
        <v>74</v>
      </c>
      <c r="AY499" t="s">
        <v>74</v>
      </c>
      <c r="AZ499" t="s">
        <v>74</v>
      </c>
      <c r="BA499" t="s">
        <v>74</v>
      </c>
      <c r="BB499" t="s">
        <v>74</v>
      </c>
      <c r="BC499" t="s">
        <v>74</v>
      </c>
      <c r="BD499">
        <v>208901</v>
      </c>
      <c r="BE499" t="s">
        <v>7066</v>
      </c>
      <c r="BF499" t="str">
        <f>HYPERLINK("http://dx.doi.org/10.1103/PhysRevLett.89.208901","http://dx.doi.org/10.1103/PhysRevLett.89.208901")</f>
        <v>http://dx.doi.org/10.1103/PhysRevLett.89.208901</v>
      </c>
      <c r="BG499" t="s">
        <v>74</v>
      </c>
      <c r="BH499" t="s">
        <v>74</v>
      </c>
      <c r="BI499">
        <v>1</v>
      </c>
      <c r="BJ499" t="s">
        <v>1375</v>
      </c>
      <c r="BK499" t="s">
        <v>569</v>
      </c>
      <c r="BL499" t="s">
        <v>1376</v>
      </c>
      <c r="BM499" t="s">
        <v>7067</v>
      </c>
      <c r="BN499">
        <v>12443516</v>
      </c>
      <c r="BO499" t="s">
        <v>590</v>
      </c>
      <c r="BP499" t="s">
        <v>74</v>
      </c>
      <c r="BQ499" t="s">
        <v>74</v>
      </c>
      <c r="BR499" t="s">
        <v>98</v>
      </c>
      <c r="BS499" t="s">
        <v>7068</v>
      </c>
      <c r="BT499" t="str">
        <f>HYPERLINK("https%3A%2F%2Fwww.webofscience.com%2Fwos%2Fwoscc%2Ffull-record%2FWOS:000178938500057","View Full Record in Web of Science")</f>
        <v>View Full Record in Web of Science</v>
      </c>
    </row>
    <row r="500" spans="1:72" x14ac:dyDescent="0.15">
      <c r="A500" t="s">
        <v>552</v>
      </c>
      <c r="B500" t="s">
        <v>7069</v>
      </c>
      <c r="C500" t="s">
        <v>74</v>
      </c>
      <c r="D500" t="s">
        <v>74</v>
      </c>
      <c r="E500" t="s">
        <v>74</v>
      </c>
      <c r="F500" t="s">
        <v>7069</v>
      </c>
      <c r="G500" t="s">
        <v>74</v>
      </c>
      <c r="H500" t="s">
        <v>74</v>
      </c>
      <c r="I500" t="s">
        <v>7070</v>
      </c>
      <c r="J500" t="s">
        <v>6844</v>
      </c>
      <c r="K500" t="s">
        <v>74</v>
      </c>
      <c r="L500" t="s">
        <v>74</v>
      </c>
      <c r="M500" t="s">
        <v>78</v>
      </c>
      <c r="N500" t="s">
        <v>6927</v>
      </c>
      <c r="O500" t="s">
        <v>74</v>
      </c>
      <c r="P500" t="s">
        <v>74</v>
      </c>
      <c r="Q500" t="s">
        <v>74</v>
      </c>
      <c r="R500" t="s">
        <v>74</v>
      </c>
      <c r="S500" t="s">
        <v>74</v>
      </c>
      <c r="T500" t="s">
        <v>74</v>
      </c>
      <c r="U500" t="s">
        <v>74</v>
      </c>
      <c r="V500" t="s">
        <v>74</v>
      </c>
      <c r="W500" t="s">
        <v>74</v>
      </c>
      <c r="X500" t="s">
        <v>74</v>
      </c>
      <c r="Y500" t="s">
        <v>74</v>
      </c>
      <c r="Z500" t="s">
        <v>74</v>
      </c>
      <c r="AA500" t="s">
        <v>74</v>
      </c>
      <c r="AB500" t="s">
        <v>74</v>
      </c>
      <c r="AC500" t="s">
        <v>74</v>
      </c>
      <c r="AD500" t="s">
        <v>74</v>
      </c>
      <c r="AE500" t="s">
        <v>74</v>
      </c>
      <c r="AF500" t="s">
        <v>74</v>
      </c>
      <c r="AG500">
        <v>0</v>
      </c>
      <c r="AH500">
        <v>0</v>
      </c>
      <c r="AI500">
        <v>0</v>
      </c>
      <c r="AJ500">
        <v>0</v>
      </c>
      <c r="AK500">
        <v>0</v>
      </c>
      <c r="AL500" t="s">
        <v>6845</v>
      </c>
      <c r="AM500" t="s">
        <v>6846</v>
      </c>
      <c r="AN500" t="s">
        <v>6847</v>
      </c>
      <c r="AO500" t="s">
        <v>6848</v>
      </c>
      <c r="AP500" t="s">
        <v>74</v>
      </c>
      <c r="AQ500" t="s">
        <v>74</v>
      </c>
      <c r="AR500" t="s">
        <v>6849</v>
      </c>
      <c r="AS500" t="s">
        <v>6850</v>
      </c>
      <c r="AT500" t="s">
        <v>7071</v>
      </c>
      <c r="AU500">
        <v>2002</v>
      </c>
      <c r="AV500">
        <v>176</v>
      </c>
      <c r="AW500">
        <v>2368</v>
      </c>
      <c r="AX500" t="s">
        <v>74</v>
      </c>
      <c r="AY500" t="s">
        <v>74</v>
      </c>
      <c r="AZ500" t="s">
        <v>74</v>
      </c>
      <c r="BA500" t="s">
        <v>74</v>
      </c>
      <c r="BB500">
        <v>11</v>
      </c>
      <c r="BC500">
        <v>11</v>
      </c>
      <c r="BD500" t="s">
        <v>74</v>
      </c>
      <c r="BE500" t="s">
        <v>74</v>
      </c>
      <c r="BF500" t="s">
        <v>74</v>
      </c>
      <c r="BG500" t="s">
        <v>74</v>
      </c>
      <c r="BH500" t="s">
        <v>74</v>
      </c>
      <c r="BI500">
        <v>1</v>
      </c>
      <c r="BJ500" t="s">
        <v>5596</v>
      </c>
      <c r="BK500" t="s">
        <v>569</v>
      </c>
      <c r="BL500" t="s">
        <v>5597</v>
      </c>
      <c r="BM500" t="s">
        <v>7072</v>
      </c>
      <c r="BN500" t="s">
        <v>74</v>
      </c>
      <c r="BO500" t="s">
        <v>74</v>
      </c>
      <c r="BP500" t="s">
        <v>74</v>
      </c>
      <c r="BQ500" t="s">
        <v>74</v>
      </c>
      <c r="BR500" t="s">
        <v>98</v>
      </c>
      <c r="BS500" t="s">
        <v>7073</v>
      </c>
      <c r="BT500" t="str">
        <f>HYPERLINK("https%3A%2F%2Fwww.webofscience.com%2Fwos%2Fwoscc%2Ffull-record%2FWOS:000179275000009","View Full Record in Web of Science")</f>
        <v>View Full Record in Web of Science</v>
      </c>
    </row>
    <row r="501" spans="1:72" x14ac:dyDescent="0.15">
      <c r="A501" t="s">
        <v>552</v>
      </c>
      <c r="B501" t="s">
        <v>7074</v>
      </c>
      <c r="C501" t="s">
        <v>74</v>
      </c>
      <c r="D501" t="s">
        <v>74</v>
      </c>
      <c r="E501" t="s">
        <v>74</v>
      </c>
      <c r="F501" t="s">
        <v>7074</v>
      </c>
      <c r="G501" t="s">
        <v>74</v>
      </c>
      <c r="H501" t="s">
        <v>74</v>
      </c>
      <c r="I501" t="s">
        <v>7075</v>
      </c>
      <c r="J501" t="s">
        <v>7076</v>
      </c>
      <c r="K501" t="s">
        <v>74</v>
      </c>
      <c r="L501" t="s">
        <v>74</v>
      </c>
      <c r="M501" t="s">
        <v>78</v>
      </c>
      <c r="N501" t="s">
        <v>775</v>
      </c>
      <c r="O501" t="s">
        <v>74</v>
      </c>
      <c r="P501" t="s">
        <v>74</v>
      </c>
      <c r="Q501" t="s">
        <v>74</v>
      </c>
      <c r="R501" t="s">
        <v>74</v>
      </c>
      <c r="S501" t="s">
        <v>74</v>
      </c>
      <c r="T501" t="s">
        <v>7077</v>
      </c>
      <c r="U501" t="s">
        <v>7078</v>
      </c>
      <c r="V501" t="s">
        <v>7079</v>
      </c>
      <c r="W501" t="s">
        <v>7080</v>
      </c>
      <c r="X501" t="s">
        <v>584</v>
      </c>
      <c r="Y501" t="s">
        <v>74</v>
      </c>
      <c r="Z501" t="s">
        <v>7081</v>
      </c>
      <c r="AA501" t="s">
        <v>7082</v>
      </c>
      <c r="AB501" t="s">
        <v>7083</v>
      </c>
      <c r="AC501" t="s">
        <v>74</v>
      </c>
      <c r="AD501" t="s">
        <v>74</v>
      </c>
      <c r="AE501" t="s">
        <v>74</v>
      </c>
      <c r="AF501" t="s">
        <v>74</v>
      </c>
      <c r="AG501">
        <v>57</v>
      </c>
      <c r="AH501">
        <v>115</v>
      </c>
      <c r="AI501">
        <v>119</v>
      </c>
      <c r="AJ501">
        <v>0</v>
      </c>
      <c r="AK501">
        <v>35</v>
      </c>
      <c r="AL501" t="s">
        <v>7084</v>
      </c>
      <c r="AM501" t="s">
        <v>3899</v>
      </c>
      <c r="AN501" t="s">
        <v>7085</v>
      </c>
      <c r="AO501" t="s">
        <v>7086</v>
      </c>
      <c r="AP501" t="s">
        <v>7087</v>
      </c>
      <c r="AQ501" t="s">
        <v>74</v>
      </c>
      <c r="AR501" t="s">
        <v>7088</v>
      </c>
      <c r="AS501" t="s">
        <v>7089</v>
      </c>
      <c r="AT501" t="s">
        <v>7090</v>
      </c>
      <c r="AU501">
        <v>2002</v>
      </c>
      <c r="AV501">
        <v>283</v>
      </c>
      <c r="AW501">
        <v>5</v>
      </c>
      <c r="AX501" t="s">
        <v>74</v>
      </c>
      <c r="AY501" t="s">
        <v>74</v>
      </c>
      <c r="AZ501" t="s">
        <v>74</v>
      </c>
      <c r="BA501" t="s">
        <v>74</v>
      </c>
      <c r="BB501" t="s">
        <v>7091</v>
      </c>
      <c r="BC501" t="s">
        <v>7092</v>
      </c>
      <c r="BD501" t="s">
        <v>74</v>
      </c>
      <c r="BE501" t="s">
        <v>7093</v>
      </c>
      <c r="BF501" t="str">
        <f>HYPERLINK("http://dx.doi.org/10.1152/ajpregu.00167.2002","http://dx.doi.org/10.1152/ajpregu.00167.2002")</f>
        <v>http://dx.doi.org/10.1152/ajpregu.00167.2002</v>
      </c>
      <c r="BG501" t="s">
        <v>74</v>
      </c>
      <c r="BH501" t="s">
        <v>74</v>
      </c>
      <c r="BI501">
        <v>9</v>
      </c>
      <c r="BJ501" t="s">
        <v>7094</v>
      </c>
      <c r="BK501" t="s">
        <v>569</v>
      </c>
      <c r="BL501" t="s">
        <v>7094</v>
      </c>
      <c r="BM501" t="s">
        <v>7095</v>
      </c>
      <c r="BN501">
        <v>12376420</v>
      </c>
      <c r="BO501" t="s">
        <v>794</v>
      </c>
      <c r="BP501" t="s">
        <v>74</v>
      </c>
      <c r="BQ501" t="s">
        <v>74</v>
      </c>
      <c r="BR501" t="s">
        <v>98</v>
      </c>
      <c r="BS501" t="s">
        <v>7096</v>
      </c>
      <c r="BT501" t="str">
        <f>HYPERLINK("https%3A%2F%2Fwww.webofscience.com%2Fwos%2Fwoscc%2Ffull-record%2FWOS:000178613500031","View Full Record in Web of Science")</f>
        <v>View Full Record in Web of Science</v>
      </c>
    </row>
    <row r="502" spans="1:72" x14ac:dyDescent="0.15">
      <c r="A502" t="s">
        <v>552</v>
      </c>
      <c r="B502" t="s">
        <v>7097</v>
      </c>
      <c r="C502" t="s">
        <v>74</v>
      </c>
      <c r="D502" t="s">
        <v>74</v>
      </c>
      <c r="E502" t="s">
        <v>74</v>
      </c>
      <c r="F502" t="s">
        <v>7097</v>
      </c>
      <c r="G502" t="s">
        <v>74</v>
      </c>
      <c r="H502" t="s">
        <v>74</v>
      </c>
      <c r="I502" t="s">
        <v>7098</v>
      </c>
      <c r="J502" t="s">
        <v>5806</v>
      </c>
      <c r="K502" t="s">
        <v>74</v>
      </c>
      <c r="L502" t="s">
        <v>74</v>
      </c>
      <c r="M502" t="s">
        <v>78</v>
      </c>
      <c r="N502" t="s">
        <v>775</v>
      </c>
      <c r="O502" t="s">
        <v>74</v>
      </c>
      <c r="P502" t="s">
        <v>74</v>
      </c>
      <c r="Q502" t="s">
        <v>74</v>
      </c>
      <c r="R502" t="s">
        <v>74</v>
      </c>
      <c r="S502" t="s">
        <v>74</v>
      </c>
      <c r="T502" t="s">
        <v>7099</v>
      </c>
      <c r="U502" t="s">
        <v>7100</v>
      </c>
      <c r="V502" t="s">
        <v>7101</v>
      </c>
      <c r="W502" t="s">
        <v>7102</v>
      </c>
      <c r="X502" t="s">
        <v>7103</v>
      </c>
      <c r="Y502" t="s">
        <v>7104</v>
      </c>
      <c r="Z502" t="s">
        <v>74</v>
      </c>
      <c r="AA502" t="s">
        <v>74</v>
      </c>
      <c r="AB502" t="s">
        <v>7105</v>
      </c>
      <c r="AC502" t="s">
        <v>74</v>
      </c>
      <c r="AD502" t="s">
        <v>74</v>
      </c>
      <c r="AE502" t="s">
        <v>74</v>
      </c>
      <c r="AF502" t="s">
        <v>74</v>
      </c>
      <c r="AG502">
        <v>40</v>
      </c>
      <c r="AH502">
        <v>30</v>
      </c>
      <c r="AI502">
        <v>34</v>
      </c>
      <c r="AJ502">
        <v>0</v>
      </c>
      <c r="AK502">
        <v>2</v>
      </c>
      <c r="AL502" t="s">
        <v>5813</v>
      </c>
      <c r="AM502" t="s">
        <v>5814</v>
      </c>
      <c r="AN502" t="s">
        <v>5815</v>
      </c>
      <c r="AO502" t="s">
        <v>5816</v>
      </c>
      <c r="AP502" t="s">
        <v>74</v>
      </c>
      <c r="AQ502" t="s">
        <v>74</v>
      </c>
      <c r="AR502" t="s">
        <v>5817</v>
      </c>
      <c r="AS502" t="s">
        <v>5818</v>
      </c>
      <c r="AT502" t="s">
        <v>7090</v>
      </c>
      <c r="AU502">
        <v>2002</v>
      </c>
      <c r="AV502">
        <v>20</v>
      </c>
      <c r="AW502">
        <v>11</v>
      </c>
      <c r="AX502" t="s">
        <v>74</v>
      </c>
      <c r="AY502" t="s">
        <v>74</v>
      </c>
      <c r="AZ502" t="s">
        <v>74</v>
      </c>
      <c r="BA502" t="s">
        <v>74</v>
      </c>
      <c r="BB502">
        <v>1769</v>
      </c>
      <c r="BC502">
        <v>1781</v>
      </c>
      <c r="BD502" t="s">
        <v>74</v>
      </c>
      <c r="BE502" t="s">
        <v>7106</v>
      </c>
      <c r="BF502" t="str">
        <f>HYPERLINK("http://dx.doi.org/10.5194/angeo-20-1769-2002","http://dx.doi.org/10.5194/angeo-20-1769-2002")</f>
        <v>http://dx.doi.org/10.5194/angeo-20-1769-2002</v>
      </c>
      <c r="BG502" t="s">
        <v>74</v>
      </c>
      <c r="BH502" t="s">
        <v>74</v>
      </c>
      <c r="BI502">
        <v>13</v>
      </c>
      <c r="BJ502" t="s">
        <v>5820</v>
      </c>
      <c r="BK502" t="s">
        <v>569</v>
      </c>
      <c r="BL502" t="s">
        <v>5821</v>
      </c>
      <c r="BM502" t="s">
        <v>7107</v>
      </c>
      <c r="BN502" t="s">
        <v>74</v>
      </c>
      <c r="BO502" t="s">
        <v>7108</v>
      </c>
      <c r="BP502" t="s">
        <v>74</v>
      </c>
      <c r="BQ502" t="s">
        <v>74</v>
      </c>
      <c r="BR502" t="s">
        <v>98</v>
      </c>
      <c r="BS502" t="s">
        <v>7109</v>
      </c>
      <c r="BT502" t="str">
        <f>HYPERLINK("https%3A%2F%2Fwww.webofscience.com%2Fwos%2Fwoscc%2Ffull-record%2FWOS:000180301300008","View Full Record in Web of Science")</f>
        <v>View Full Record in Web of Science</v>
      </c>
    </row>
    <row r="503" spans="1:72" x14ac:dyDescent="0.15">
      <c r="A503" t="s">
        <v>552</v>
      </c>
      <c r="B503" t="s">
        <v>7110</v>
      </c>
      <c r="C503" t="s">
        <v>74</v>
      </c>
      <c r="D503" t="s">
        <v>74</v>
      </c>
      <c r="E503" t="s">
        <v>74</v>
      </c>
      <c r="F503" t="s">
        <v>7110</v>
      </c>
      <c r="G503" t="s">
        <v>74</v>
      </c>
      <c r="H503" t="s">
        <v>74</v>
      </c>
      <c r="I503" t="s">
        <v>7111</v>
      </c>
      <c r="J503" t="s">
        <v>5806</v>
      </c>
      <c r="K503" t="s">
        <v>74</v>
      </c>
      <c r="L503" t="s">
        <v>74</v>
      </c>
      <c r="M503" t="s">
        <v>78</v>
      </c>
      <c r="N503" t="s">
        <v>775</v>
      </c>
      <c r="O503" t="s">
        <v>74</v>
      </c>
      <c r="P503" t="s">
        <v>74</v>
      </c>
      <c r="Q503" t="s">
        <v>74</v>
      </c>
      <c r="R503" t="s">
        <v>74</v>
      </c>
      <c r="S503" t="s">
        <v>74</v>
      </c>
      <c r="T503" t="s">
        <v>7112</v>
      </c>
      <c r="U503" t="s">
        <v>7113</v>
      </c>
      <c r="V503" t="s">
        <v>7114</v>
      </c>
      <c r="W503" t="s">
        <v>7115</v>
      </c>
      <c r="X503" t="s">
        <v>7116</v>
      </c>
      <c r="Y503" t="s">
        <v>7117</v>
      </c>
      <c r="Z503" t="s">
        <v>74</v>
      </c>
      <c r="AA503" t="s">
        <v>74</v>
      </c>
      <c r="AB503" t="s">
        <v>74</v>
      </c>
      <c r="AC503" t="s">
        <v>74</v>
      </c>
      <c r="AD503" t="s">
        <v>74</v>
      </c>
      <c r="AE503" t="s">
        <v>74</v>
      </c>
      <c r="AF503" t="s">
        <v>74</v>
      </c>
      <c r="AG503">
        <v>36</v>
      </c>
      <c r="AH503">
        <v>13</v>
      </c>
      <c r="AI503">
        <v>14</v>
      </c>
      <c r="AJ503">
        <v>0</v>
      </c>
      <c r="AK503">
        <v>1</v>
      </c>
      <c r="AL503" t="s">
        <v>5813</v>
      </c>
      <c r="AM503" t="s">
        <v>5814</v>
      </c>
      <c r="AN503" t="s">
        <v>5815</v>
      </c>
      <c r="AO503" t="s">
        <v>5816</v>
      </c>
      <c r="AP503" t="s">
        <v>74</v>
      </c>
      <c r="AQ503" t="s">
        <v>74</v>
      </c>
      <c r="AR503" t="s">
        <v>5817</v>
      </c>
      <c r="AS503" t="s">
        <v>5818</v>
      </c>
      <c r="AT503" t="s">
        <v>7090</v>
      </c>
      <c r="AU503">
        <v>2002</v>
      </c>
      <c r="AV503">
        <v>20</v>
      </c>
      <c r="AW503">
        <v>11</v>
      </c>
      <c r="AX503" t="s">
        <v>74</v>
      </c>
      <c r="AY503" t="s">
        <v>74</v>
      </c>
      <c r="AZ503" t="s">
        <v>74</v>
      </c>
      <c r="BA503" t="s">
        <v>74</v>
      </c>
      <c r="BB503">
        <v>1783</v>
      </c>
      <c r="BC503">
        <v>1793</v>
      </c>
      <c r="BD503" t="s">
        <v>74</v>
      </c>
      <c r="BE503" t="s">
        <v>7118</v>
      </c>
      <c r="BF503" t="str">
        <f>HYPERLINK("http://dx.doi.org/10.5194/angeo-20-1783-2002","http://dx.doi.org/10.5194/angeo-20-1783-2002")</f>
        <v>http://dx.doi.org/10.5194/angeo-20-1783-2002</v>
      </c>
      <c r="BG503" t="s">
        <v>74</v>
      </c>
      <c r="BH503" t="s">
        <v>74</v>
      </c>
      <c r="BI503">
        <v>11</v>
      </c>
      <c r="BJ503" t="s">
        <v>5820</v>
      </c>
      <c r="BK503" t="s">
        <v>569</v>
      </c>
      <c r="BL503" t="s">
        <v>5821</v>
      </c>
      <c r="BM503" t="s">
        <v>7107</v>
      </c>
      <c r="BN503" t="s">
        <v>74</v>
      </c>
      <c r="BO503" t="s">
        <v>7119</v>
      </c>
      <c r="BP503" t="s">
        <v>74</v>
      </c>
      <c r="BQ503" t="s">
        <v>74</v>
      </c>
      <c r="BR503" t="s">
        <v>98</v>
      </c>
      <c r="BS503" t="s">
        <v>7120</v>
      </c>
      <c r="BT503" t="str">
        <f>HYPERLINK("https%3A%2F%2Fwww.webofscience.com%2Fwos%2Fwoscc%2Ffull-record%2FWOS:000180301300009","View Full Record in Web of Science")</f>
        <v>View Full Record in Web of Science</v>
      </c>
    </row>
    <row r="504" spans="1:72" x14ac:dyDescent="0.15">
      <c r="A504" t="s">
        <v>552</v>
      </c>
      <c r="B504" t="s">
        <v>7121</v>
      </c>
      <c r="C504" t="s">
        <v>74</v>
      </c>
      <c r="D504" t="s">
        <v>74</v>
      </c>
      <c r="E504" t="s">
        <v>74</v>
      </c>
      <c r="F504" t="s">
        <v>7121</v>
      </c>
      <c r="G504" t="s">
        <v>74</v>
      </c>
      <c r="H504" t="s">
        <v>74</v>
      </c>
      <c r="I504" t="s">
        <v>7122</v>
      </c>
      <c r="J504" t="s">
        <v>7123</v>
      </c>
      <c r="K504" t="s">
        <v>74</v>
      </c>
      <c r="L504" t="s">
        <v>74</v>
      </c>
      <c r="M504" t="s">
        <v>78</v>
      </c>
      <c r="N504" t="s">
        <v>775</v>
      </c>
      <c r="O504" t="s">
        <v>74</v>
      </c>
      <c r="P504" t="s">
        <v>74</v>
      </c>
      <c r="Q504" t="s">
        <v>74</v>
      </c>
      <c r="R504" t="s">
        <v>74</v>
      </c>
      <c r="S504" t="s">
        <v>74</v>
      </c>
      <c r="T504" t="s">
        <v>74</v>
      </c>
      <c r="U504" t="s">
        <v>74</v>
      </c>
      <c r="V504" t="s">
        <v>7124</v>
      </c>
      <c r="W504" t="s">
        <v>7125</v>
      </c>
      <c r="X504" t="s">
        <v>7126</v>
      </c>
      <c r="Y504" t="s">
        <v>74</v>
      </c>
      <c r="Z504" t="s">
        <v>74</v>
      </c>
      <c r="AA504" t="s">
        <v>7127</v>
      </c>
      <c r="AB504" t="s">
        <v>7128</v>
      </c>
      <c r="AC504" t="s">
        <v>74</v>
      </c>
      <c r="AD504" t="s">
        <v>74</v>
      </c>
      <c r="AE504" t="s">
        <v>74</v>
      </c>
      <c r="AF504" t="s">
        <v>74</v>
      </c>
      <c r="AG504">
        <v>4</v>
      </c>
      <c r="AH504">
        <v>36</v>
      </c>
      <c r="AI504">
        <v>42</v>
      </c>
      <c r="AJ504">
        <v>2</v>
      </c>
      <c r="AK504">
        <v>29</v>
      </c>
      <c r="AL504" t="s">
        <v>7129</v>
      </c>
      <c r="AM504" t="s">
        <v>561</v>
      </c>
      <c r="AN504" t="s">
        <v>7130</v>
      </c>
      <c r="AO504" t="s">
        <v>7131</v>
      </c>
      <c r="AP504" t="s">
        <v>74</v>
      </c>
      <c r="AQ504" t="s">
        <v>74</v>
      </c>
      <c r="AR504" t="s">
        <v>7132</v>
      </c>
      <c r="AS504" t="s">
        <v>7133</v>
      </c>
      <c r="AT504" t="s">
        <v>7134</v>
      </c>
      <c r="AU504">
        <v>2002</v>
      </c>
      <c r="AV504">
        <v>38</v>
      </c>
      <c r="AW504">
        <v>6</v>
      </c>
      <c r="AX504" t="s">
        <v>74</v>
      </c>
      <c r="AY504" t="s">
        <v>74</v>
      </c>
      <c r="AZ504" t="s">
        <v>74</v>
      </c>
      <c r="BA504" t="s">
        <v>74</v>
      </c>
      <c r="BB504">
        <v>521</v>
      </c>
      <c r="BC504">
        <v>526</v>
      </c>
      <c r="BD504" t="s">
        <v>74</v>
      </c>
      <c r="BE504" t="s">
        <v>7135</v>
      </c>
      <c r="BF504" t="str">
        <f>HYPERLINK("http://dx.doi.org/10.1023/A:1020766325395","http://dx.doi.org/10.1023/A:1020766325395")</f>
        <v>http://dx.doi.org/10.1023/A:1020766325395</v>
      </c>
      <c r="BG504" t="s">
        <v>74</v>
      </c>
      <c r="BH504" t="s">
        <v>74</v>
      </c>
      <c r="BI504">
        <v>6</v>
      </c>
      <c r="BJ504" t="s">
        <v>2587</v>
      </c>
      <c r="BK504" t="s">
        <v>569</v>
      </c>
      <c r="BL504" t="s">
        <v>2587</v>
      </c>
      <c r="BM504" t="s">
        <v>7136</v>
      </c>
      <c r="BN504" t="s">
        <v>74</v>
      </c>
      <c r="BO504" t="s">
        <v>74</v>
      </c>
      <c r="BP504" t="s">
        <v>74</v>
      </c>
      <c r="BQ504" t="s">
        <v>74</v>
      </c>
      <c r="BR504" t="s">
        <v>98</v>
      </c>
      <c r="BS504" t="s">
        <v>7137</v>
      </c>
      <c r="BT504" t="str">
        <f>HYPERLINK("https%3A%2F%2Fwww.webofscience.com%2Fwos%2Fwoscc%2Ffull-record%2FWOS:000179350800003","View Full Record in Web of Science")</f>
        <v>View Full Record in Web of Science</v>
      </c>
    </row>
    <row r="505" spans="1:72" x14ac:dyDescent="0.15">
      <c r="A505" t="s">
        <v>552</v>
      </c>
      <c r="B505" t="s">
        <v>7138</v>
      </c>
      <c r="C505" t="s">
        <v>74</v>
      </c>
      <c r="D505" t="s">
        <v>74</v>
      </c>
      <c r="E505" t="s">
        <v>74</v>
      </c>
      <c r="F505" t="s">
        <v>7138</v>
      </c>
      <c r="G505" t="s">
        <v>74</v>
      </c>
      <c r="H505" t="s">
        <v>74</v>
      </c>
      <c r="I505" t="s">
        <v>7139</v>
      </c>
      <c r="J505" t="s">
        <v>7140</v>
      </c>
      <c r="K505" t="s">
        <v>74</v>
      </c>
      <c r="L505" t="s">
        <v>74</v>
      </c>
      <c r="M505" t="s">
        <v>78</v>
      </c>
      <c r="N505" t="s">
        <v>556</v>
      </c>
      <c r="O505" t="s">
        <v>74</v>
      </c>
      <c r="P505" t="s">
        <v>74</v>
      </c>
      <c r="Q505" t="s">
        <v>74</v>
      </c>
      <c r="R505" t="s">
        <v>74</v>
      </c>
      <c r="S505" t="s">
        <v>74</v>
      </c>
      <c r="T505" t="s">
        <v>74</v>
      </c>
      <c r="U505" t="s">
        <v>74</v>
      </c>
      <c r="V505" t="s">
        <v>74</v>
      </c>
      <c r="W505" t="s">
        <v>74</v>
      </c>
      <c r="X505" t="s">
        <v>74</v>
      </c>
      <c r="Y505" t="s">
        <v>74</v>
      </c>
      <c r="Z505" t="s">
        <v>74</v>
      </c>
      <c r="AA505" t="s">
        <v>74</v>
      </c>
      <c r="AB505" t="s">
        <v>74</v>
      </c>
      <c r="AC505" t="s">
        <v>74</v>
      </c>
      <c r="AD505" t="s">
        <v>74</v>
      </c>
      <c r="AE505" t="s">
        <v>74</v>
      </c>
      <c r="AF505" t="s">
        <v>74</v>
      </c>
      <c r="AG505">
        <v>0</v>
      </c>
      <c r="AH505">
        <v>2</v>
      </c>
      <c r="AI505">
        <v>3</v>
      </c>
      <c r="AJ505">
        <v>0</v>
      </c>
      <c r="AK505">
        <v>1</v>
      </c>
      <c r="AL505" t="s">
        <v>7141</v>
      </c>
      <c r="AM505" t="s">
        <v>7142</v>
      </c>
      <c r="AN505" t="s">
        <v>7143</v>
      </c>
      <c r="AO505" t="s">
        <v>7144</v>
      </c>
      <c r="AP505" t="s">
        <v>74</v>
      </c>
      <c r="AQ505" t="s">
        <v>74</v>
      </c>
      <c r="AR505" t="s">
        <v>7145</v>
      </c>
      <c r="AS505" t="s">
        <v>7146</v>
      </c>
      <c r="AT505" t="s">
        <v>7090</v>
      </c>
      <c r="AU505">
        <v>2002</v>
      </c>
      <c r="AV505">
        <v>34</v>
      </c>
      <c r="AW505">
        <v>4</v>
      </c>
      <c r="AX505" t="s">
        <v>74</v>
      </c>
      <c r="AY505" t="s">
        <v>74</v>
      </c>
      <c r="AZ505" t="s">
        <v>74</v>
      </c>
      <c r="BA505" t="s">
        <v>74</v>
      </c>
      <c r="BB505">
        <v>363</v>
      </c>
      <c r="BC505">
        <v>364</v>
      </c>
      <c r="BD505" t="s">
        <v>74</v>
      </c>
      <c r="BE505" t="s">
        <v>7147</v>
      </c>
      <c r="BF505" t="str">
        <f>HYPERLINK("http://dx.doi.org/10.1080/15230430.2002.12003506","http://dx.doi.org/10.1080/15230430.2002.12003506")</f>
        <v>http://dx.doi.org/10.1080/15230430.2002.12003506</v>
      </c>
      <c r="BG505" t="s">
        <v>74</v>
      </c>
      <c r="BH505" t="s">
        <v>74</v>
      </c>
      <c r="BI505">
        <v>2</v>
      </c>
      <c r="BJ505" t="s">
        <v>7148</v>
      </c>
      <c r="BK505" t="s">
        <v>569</v>
      </c>
      <c r="BL505" t="s">
        <v>6275</v>
      </c>
      <c r="BM505" t="s">
        <v>7149</v>
      </c>
      <c r="BN505" t="s">
        <v>74</v>
      </c>
      <c r="BO505" t="s">
        <v>572</v>
      </c>
      <c r="BP505" t="s">
        <v>74</v>
      </c>
      <c r="BQ505" t="s">
        <v>74</v>
      </c>
      <c r="BR505" t="s">
        <v>98</v>
      </c>
      <c r="BS505" t="s">
        <v>7150</v>
      </c>
      <c r="BT505" t="str">
        <f>HYPERLINK("https%3A%2F%2Fwww.webofscience.com%2Fwos%2Fwoscc%2Ffull-record%2FWOS:000183096400001","View Full Record in Web of Science")</f>
        <v>View Full Record in Web of Science</v>
      </c>
    </row>
    <row r="506" spans="1:72" x14ac:dyDescent="0.15">
      <c r="A506" t="s">
        <v>552</v>
      </c>
      <c r="B506" t="s">
        <v>7151</v>
      </c>
      <c r="C506" t="s">
        <v>74</v>
      </c>
      <c r="D506" t="s">
        <v>74</v>
      </c>
      <c r="E506" t="s">
        <v>74</v>
      </c>
      <c r="F506" t="s">
        <v>7151</v>
      </c>
      <c r="G506" t="s">
        <v>74</v>
      </c>
      <c r="H506" t="s">
        <v>74</v>
      </c>
      <c r="I506" t="s">
        <v>7152</v>
      </c>
      <c r="J506" t="s">
        <v>7140</v>
      </c>
      <c r="K506" t="s">
        <v>74</v>
      </c>
      <c r="L506" t="s">
        <v>74</v>
      </c>
      <c r="M506" t="s">
        <v>78</v>
      </c>
      <c r="N506" t="s">
        <v>775</v>
      </c>
      <c r="O506" t="s">
        <v>74</v>
      </c>
      <c r="P506" t="s">
        <v>74</v>
      </c>
      <c r="Q506" t="s">
        <v>74</v>
      </c>
      <c r="R506" t="s">
        <v>74</v>
      </c>
      <c r="S506" t="s">
        <v>74</v>
      </c>
      <c r="T506" t="s">
        <v>74</v>
      </c>
      <c r="U506" t="s">
        <v>74</v>
      </c>
      <c r="V506" t="s">
        <v>7153</v>
      </c>
      <c r="W506" t="s">
        <v>7154</v>
      </c>
      <c r="X506" t="s">
        <v>7155</v>
      </c>
      <c r="Y506" t="s">
        <v>7156</v>
      </c>
      <c r="Z506" t="s">
        <v>74</v>
      </c>
      <c r="AA506" t="s">
        <v>74</v>
      </c>
      <c r="AB506" t="s">
        <v>74</v>
      </c>
      <c r="AC506" t="s">
        <v>74</v>
      </c>
      <c r="AD506" t="s">
        <v>74</v>
      </c>
      <c r="AE506" t="s">
        <v>74</v>
      </c>
      <c r="AF506" t="s">
        <v>74</v>
      </c>
      <c r="AG506">
        <v>20</v>
      </c>
      <c r="AH506">
        <v>45</v>
      </c>
      <c r="AI506">
        <v>51</v>
      </c>
      <c r="AJ506">
        <v>0</v>
      </c>
      <c r="AK506">
        <v>14</v>
      </c>
      <c r="AL506" t="s">
        <v>7141</v>
      </c>
      <c r="AM506" t="s">
        <v>7142</v>
      </c>
      <c r="AN506" t="s">
        <v>7143</v>
      </c>
      <c r="AO506" t="s">
        <v>7144</v>
      </c>
      <c r="AP506" t="s">
        <v>74</v>
      </c>
      <c r="AQ506" t="s">
        <v>74</v>
      </c>
      <c r="AR506" t="s">
        <v>7145</v>
      </c>
      <c r="AS506" t="s">
        <v>7146</v>
      </c>
      <c r="AT506" t="s">
        <v>7090</v>
      </c>
      <c r="AU506">
        <v>2002</v>
      </c>
      <c r="AV506">
        <v>34</v>
      </c>
      <c r="AW506">
        <v>4</v>
      </c>
      <c r="AX506" t="s">
        <v>74</v>
      </c>
      <c r="AY506" t="s">
        <v>74</v>
      </c>
      <c r="AZ506" t="s">
        <v>74</v>
      </c>
      <c r="BA506" t="s">
        <v>74</v>
      </c>
      <c r="BB506">
        <v>365</v>
      </c>
      <c r="BC506">
        <v>376</v>
      </c>
      <c r="BD506" t="s">
        <v>74</v>
      </c>
      <c r="BE506" t="s">
        <v>7157</v>
      </c>
      <c r="BF506" t="str">
        <f>HYPERLINK("http://dx.doi.org/10.2307/1552194","http://dx.doi.org/10.2307/1552194")</f>
        <v>http://dx.doi.org/10.2307/1552194</v>
      </c>
      <c r="BG506" t="s">
        <v>74</v>
      </c>
      <c r="BH506" t="s">
        <v>74</v>
      </c>
      <c r="BI506">
        <v>12</v>
      </c>
      <c r="BJ506" t="s">
        <v>7148</v>
      </c>
      <c r="BK506" t="s">
        <v>569</v>
      </c>
      <c r="BL506" t="s">
        <v>6275</v>
      </c>
      <c r="BM506" t="s">
        <v>7149</v>
      </c>
      <c r="BN506" t="s">
        <v>74</v>
      </c>
      <c r="BO506" t="s">
        <v>572</v>
      </c>
      <c r="BP506" t="s">
        <v>74</v>
      </c>
      <c r="BQ506" t="s">
        <v>74</v>
      </c>
      <c r="BR506" t="s">
        <v>98</v>
      </c>
      <c r="BS506" t="s">
        <v>7158</v>
      </c>
      <c r="BT506" t="str">
        <f>HYPERLINK("https%3A%2F%2Fwww.webofscience.com%2Fwos%2Fwoscc%2Ffull-record%2FWOS:000183096400002","View Full Record in Web of Science")</f>
        <v>View Full Record in Web of Science</v>
      </c>
    </row>
    <row r="507" spans="1:72" x14ac:dyDescent="0.15">
      <c r="A507" t="s">
        <v>552</v>
      </c>
      <c r="B507" t="s">
        <v>7159</v>
      </c>
      <c r="C507" t="s">
        <v>74</v>
      </c>
      <c r="D507" t="s">
        <v>74</v>
      </c>
      <c r="E507" t="s">
        <v>74</v>
      </c>
      <c r="F507" t="s">
        <v>7159</v>
      </c>
      <c r="G507" t="s">
        <v>74</v>
      </c>
      <c r="H507" t="s">
        <v>74</v>
      </c>
      <c r="I507" t="s">
        <v>7160</v>
      </c>
      <c r="J507" t="s">
        <v>7140</v>
      </c>
      <c r="K507" t="s">
        <v>74</v>
      </c>
      <c r="L507" t="s">
        <v>74</v>
      </c>
      <c r="M507" t="s">
        <v>78</v>
      </c>
      <c r="N507" t="s">
        <v>775</v>
      </c>
      <c r="O507" t="s">
        <v>74</v>
      </c>
      <c r="P507" t="s">
        <v>74</v>
      </c>
      <c r="Q507" t="s">
        <v>74</v>
      </c>
      <c r="R507" t="s">
        <v>74</v>
      </c>
      <c r="S507" t="s">
        <v>74</v>
      </c>
      <c r="T507" t="s">
        <v>74</v>
      </c>
      <c r="U507" t="s">
        <v>7161</v>
      </c>
      <c r="V507" t="s">
        <v>7162</v>
      </c>
      <c r="W507" t="s">
        <v>7163</v>
      </c>
      <c r="X507" t="s">
        <v>7164</v>
      </c>
      <c r="Y507" t="s">
        <v>7165</v>
      </c>
      <c r="Z507" t="s">
        <v>7166</v>
      </c>
      <c r="AA507" t="s">
        <v>74</v>
      </c>
      <c r="AB507" t="s">
        <v>74</v>
      </c>
      <c r="AC507" t="s">
        <v>74</v>
      </c>
      <c r="AD507" t="s">
        <v>74</v>
      </c>
      <c r="AE507" t="s">
        <v>74</v>
      </c>
      <c r="AF507" t="s">
        <v>74</v>
      </c>
      <c r="AG507">
        <v>31</v>
      </c>
      <c r="AH507">
        <v>16</v>
      </c>
      <c r="AI507">
        <v>19</v>
      </c>
      <c r="AJ507">
        <v>0</v>
      </c>
      <c r="AK507">
        <v>12</v>
      </c>
      <c r="AL507" t="s">
        <v>2060</v>
      </c>
      <c r="AM507" t="s">
        <v>2061</v>
      </c>
      <c r="AN507" t="s">
        <v>2062</v>
      </c>
      <c r="AO507" t="s">
        <v>7144</v>
      </c>
      <c r="AP507" t="s">
        <v>7167</v>
      </c>
      <c r="AQ507" t="s">
        <v>74</v>
      </c>
      <c r="AR507" t="s">
        <v>7145</v>
      </c>
      <c r="AS507" t="s">
        <v>7146</v>
      </c>
      <c r="AT507" t="s">
        <v>7090</v>
      </c>
      <c r="AU507">
        <v>2002</v>
      </c>
      <c r="AV507">
        <v>34</v>
      </c>
      <c r="AW507">
        <v>4</v>
      </c>
      <c r="AX507" t="s">
        <v>74</v>
      </c>
      <c r="AY507" t="s">
        <v>74</v>
      </c>
      <c r="AZ507" t="s">
        <v>74</v>
      </c>
      <c r="BA507" t="s">
        <v>74</v>
      </c>
      <c r="BB507">
        <v>377</v>
      </c>
      <c r="BC507">
        <v>388</v>
      </c>
      <c r="BD507" t="s">
        <v>74</v>
      </c>
      <c r="BE507" t="s">
        <v>7168</v>
      </c>
      <c r="BF507" t="str">
        <f>HYPERLINK("http://dx.doi.org/10.2307/1552195","http://dx.doi.org/10.2307/1552195")</f>
        <v>http://dx.doi.org/10.2307/1552195</v>
      </c>
      <c r="BG507" t="s">
        <v>74</v>
      </c>
      <c r="BH507" t="s">
        <v>74</v>
      </c>
      <c r="BI507">
        <v>12</v>
      </c>
      <c r="BJ507" t="s">
        <v>7148</v>
      </c>
      <c r="BK507" t="s">
        <v>569</v>
      </c>
      <c r="BL507" t="s">
        <v>6275</v>
      </c>
      <c r="BM507" t="s">
        <v>7149</v>
      </c>
      <c r="BN507" t="s">
        <v>74</v>
      </c>
      <c r="BO507" t="s">
        <v>74</v>
      </c>
      <c r="BP507" t="s">
        <v>74</v>
      </c>
      <c r="BQ507" t="s">
        <v>74</v>
      </c>
      <c r="BR507" t="s">
        <v>98</v>
      </c>
      <c r="BS507" t="s">
        <v>7169</v>
      </c>
      <c r="BT507" t="str">
        <f>HYPERLINK("https%3A%2F%2Fwww.webofscience.com%2Fwos%2Fwoscc%2Ffull-record%2FWOS:000183096400003","View Full Record in Web of Science")</f>
        <v>View Full Record in Web of Science</v>
      </c>
    </row>
    <row r="508" spans="1:72" x14ac:dyDescent="0.15">
      <c r="A508" t="s">
        <v>552</v>
      </c>
      <c r="B508" t="s">
        <v>7170</v>
      </c>
      <c r="C508" t="s">
        <v>74</v>
      </c>
      <c r="D508" t="s">
        <v>74</v>
      </c>
      <c r="E508" t="s">
        <v>74</v>
      </c>
      <c r="F508" t="s">
        <v>7170</v>
      </c>
      <c r="G508" t="s">
        <v>74</v>
      </c>
      <c r="H508" t="s">
        <v>74</v>
      </c>
      <c r="I508" t="s">
        <v>7171</v>
      </c>
      <c r="J508" t="s">
        <v>7140</v>
      </c>
      <c r="K508" t="s">
        <v>74</v>
      </c>
      <c r="L508" t="s">
        <v>74</v>
      </c>
      <c r="M508" t="s">
        <v>78</v>
      </c>
      <c r="N508" t="s">
        <v>775</v>
      </c>
      <c r="O508" t="s">
        <v>74</v>
      </c>
      <c r="P508" t="s">
        <v>74</v>
      </c>
      <c r="Q508" t="s">
        <v>74</v>
      </c>
      <c r="R508" t="s">
        <v>74</v>
      </c>
      <c r="S508" t="s">
        <v>74</v>
      </c>
      <c r="T508" t="s">
        <v>74</v>
      </c>
      <c r="U508" t="s">
        <v>7172</v>
      </c>
      <c r="V508" t="s">
        <v>7173</v>
      </c>
      <c r="W508" t="s">
        <v>7174</v>
      </c>
      <c r="X508" t="s">
        <v>7175</v>
      </c>
      <c r="Y508" t="s">
        <v>7176</v>
      </c>
      <c r="Z508" t="s">
        <v>74</v>
      </c>
      <c r="AA508" t="s">
        <v>74</v>
      </c>
      <c r="AB508" t="s">
        <v>74</v>
      </c>
      <c r="AC508" t="s">
        <v>74</v>
      </c>
      <c r="AD508" t="s">
        <v>74</v>
      </c>
      <c r="AE508" t="s">
        <v>74</v>
      </c>
      <c r="AF508" t="s">
        <v>74</v>
      </c>
      <c r="AG508">
        <v>59</v>
      </c>
      <c r="AH508">
        <v>19</v>
      </c>
      <c r="AI508">
        <v>22</v>
      </c>
      <c r="AJ508">
        <v>1</v>
      </c>
      <c r="AK508">
        <v>24</v>
      </c>
      <c r="AL508" t="s">
        <v>7141</v>
      </c>
      <c r="AM508" t="s">
        <v>7142</v>
      </c>
      <c r="AN508" t="s">
        <v>7143</v>
      </c>
      <c r="AO508" t="s">
        <v>7144</v>
      </c>
      <c r="AP508" t="s">
        <v>74</v>
      </c>
      <c r="AQ508" t="s">
        <v>74</v>
      </c>
      <c r="AR508" t="s">
        <v>7145</v>
      </c>
      <c r="AS508" t="s">
        <v>7146</v>
      </c>
      <c r="AT508" t="s">
        <v>7090</v>
      </c>
      <c r="AU508">
        <v>2002</v>
      </c>
      <c r="AV508">
        <v>34</v>
      </c>
      <c r="AW508">
        <v>4</v>
      </c>
      <c r="AX508" t="s">
        <v>74</v>
      </c>
      <c r="AY508" t="s">
        <v>74</v>
      </c>
      <c r="AZ508" t="s">
        <v>74</v>
      </c>
      <c r="BA508" t="s">
        <v>74</v>
      </c>
      <c r="BB508">
        <v>389</v>
      </c>
      <c r="BC508">
        <v>397</v>
      </c>
      <c r="BD508" t="s">
        <v>74</v>
      </c>
      <c r="BE508" t="s">
        <v>7177</v>
      </c>
      <c r="BF508" t="str">
        <f>HYPERLINK("http://dx.doi.org/10.2307/1552196","http://dx.doi.org/10.2307/1552196")</f>
        <v>http://dx.doi.org/10.2307/1552196</v>
      </c>
      <c r="BG508" t="s">
        <v>74</v>
      </c>
      <c r="BH508" t="s">
        <v>74</v>
      </c>
      <c r="BI508">
        <v>9</v>
      </c>
      <c r="BJ508" t="s">
        <v>7148</v>
      </c>
      <c r="BK508" t="s">
        <v>569</v>
      </c>
      <c r="BL508" t="s">
        <v>6275</v>
      </c>
      <c r="BM508" t="s">
        <v>7149</v>
      </c>
      <c r="BN508" t="s">
        <v>74</v>
      </c>
      <c r="BO508" t="s">
        <v>74</v>
      </c>
      <c r="BP508" t="s">
        <v>74</v>
      </c>
      <c r="BQ508" t="s">
        <v>74</v>
      </c>
      <c r="BR508" t="s">
        <v>98</v>
      </c>
      <c r="BS508" t="s">
        <v>7178</v>
      </c>
      <c r="BT508" t="str">
        <f>HYPERLINK("https%3A%2F%2Fwww.webofscience.com%2Fwos%2Fwoscc%2Ffull-record%2FWOS:000183096400004","View Full Record in Web of Science")</f>
        <v>View Full Record in Web of Science</v>
      </c>
    </row>
    <row r="509" spans="1:72" x14ac:dyDescent="0.15">
      <c r="A509" t="s">
        <v>552</v>
      </c>
      <c r="B509" t="s">
        <v>7179</v>
      </c>
      <c r="C509" t="s">
        <v>74</v>
      </c>
      <c r="D509" t="s">
        <v>74</v>
      </c>
      <c r="E509" t="s">
        <v>74</v>
      </c>
      <c r="F509" t="s">
        <v>7179</v>
      </c>
      <c r="G509" t="s">
        <v>74</v>
      </c>
      <c r="H509" t="s">
        <v>74</v>
      </c>
      <c r="I509" t="s">
        <v>7180</v>
      </c>
      <c r="J509" t="s">
        <v>7140</v>
      </c>
      <c r="K509" t="s">
        <v>74</v>
      </c>
      <c r="L509" t="s">
        <v>74</v>
      </c>
      <c r="M509" t="s">
        <v>78</v>
      </c>
      <c r="N509" t="s">
        <v>775</v>
      </c>
      <c r="O509" t="s">
        <v>74</v>
      </c>
      <c r="P509" t="s">
        <v>74</v>
      </c>
      <c r="Q509" t="s">
        <v>74</v>
      </c>
      <c r="R509" t="s">
        <v>74</v>
      </c>
      <c r="S509" t="s">
        <v>74</v>
      </c>
      <c r="T509" t="s">
        <v>74</v>
      </c>
      <c r="U509" t="s">
        <v>7181</v>
      </c>
      <c r="V509" t="s">
        <v>7182</v>
      </c>
      <c r="W509" t="s">
        <v>7183</v>
      </c>
      <c r="X509" t="s">
        <v>7184</v>
      </c>
      <c r="Y509" t="s">
        <v>7185</v>
      </c>
      <c r="Z509" t="s">
        <v>7186</v>
      </c>
      <c r="AA509" t="s">
        <v>74</v>
      </c>
      <c r="AB509" t="s">
        <v>74</v>
      </c>
      <c r="AC509" t="s">
        <v>74</v>
      </c>
      <c r="AD509" t="s">
        <v>74</v>
      </c>
      <c r="AE509" t="s">
        <v>74</v>
      </c>
      <c r="AF509" t="s">
        <v>74</v>
      </c>
      <c r="AG509">
        <v>85</v>
      </c>
      <c r="AH509">
        <v>40</v>
      </c>
      <c r="AI509">
        <v>46</v>
      </c>
      <c r="AJ509">
        <v>2</v>
      </c>
      <c r="AK509">
        <v>47</v>
      </c>
      <c r="AL509" t="s">
        <v>2060</v>
      </c>
      <c r="AM509" t="s">
        <v>2061</v>
      </c>
      <c r="AN509" t="s">
        <v>2062</v>
      </c>
      <c r="AO509" t="s">
        <v>7144</v>
      </c>
      <c r="AP509" t="s">
        <v>7167</v>
      </c>
      <c r="AQ509" t="s">
        <v>74</v>
      </c>
      <c r="AR509" t="s">
        <v>7145</v>
      </c>
      <c r="AS509" t="s">
        <v>7146</v>
      </c>
      <c r="AT509" t="s">
        <v>7090</v>
      </c>
      <c r="AU509">
        <v>2002</v>
      </c>
      <c r="AV509">
        <v>34</v>
      </c>
      <c r="AW509">
        <v>4</v>
      </c>
      <c r="AX509" t="s">
        <v>74</v>
      </c>
      <c r="AY509" t="s">
        <v>74</v>
      </c>
      <c r="AZ509" t="s">
        <v>74</v>
      </c>
      <c r="BA509" t="s">
        <v>74</v>
      </c>
      <c r="BB509">
        <v>398</v>
      </c>
      <c r="BC509">
        <v>407</v>
      </c>
      <c r="BD509" t="s">
        <v>74</v>
      </c>
      <c r="BE509" t="s">
        <v>7187</v>
      </c>
      <c r="BF509" t="str">
        <f>HYPERLINK("http://dx.doi.org/10.2307/1552197","http://dx.doi.org/10.2307/1552197")</f>
        <v>http://dx.doi.org/10.2307/1552197</v>
      </c>
      <c r="BG509" t="s">
        <v>74</v>
      </c>
      <c r="BH509" t="s">
        <v>74</v>
      </c>
      <c r="BI509">
        <v>10</v>
      </c>
      <c r="BJ509" t="s">
        <v>7148</v>
      </c>
      <c r="BK509" t="s">
        <v>569</v>
      </c>
      <c r="BL509" t="s">
        <v>6275</v>
      </c>
      <c r="BM509" t="s">
        <v>7149</v>
      </c>
      <c r="BN509" t="s">
        <v>74</v>
      </c>
      <c r="BO509" t="s">
        <v>572</v>
      </c>
      <c r="BP509" t="s">
        <v>74</v>
      </c>
      <c r="BQ509" t="s">
        <v>74</v>
      </c>
      <c r="BR509" t="s">
        <v>98</v>
      </c>
      <c r="BS509" t="s">
        <v>7188</v>
      </c>
      <c r="BT509" t="str">
        <f>HYPERLINK("https%3A%2F%2Fwww.webofscience.com%2Fwos%2Fwoscc%2Ffull-record%2FWOS:000183096400005","View Full Record in Web of Science")</f>
        <v>View Full Record in Web of Science</v>
      </c>
    </row>
    <row r="510" spans="1:72" x14ac:dyDescent="0.15">
      <c r="A510" t="s">
        <v>552</v>
      </c>
      <c r="B510" t="s">
        <v>7189</v>
      </c>
      <c r="C510" t="s">
        <v>74</v>
      </c>
      <c r="D510" t="s">
        <v>74</v>
      </c>
      <c r="E510" t="s">
        <v>74</v>
      </c>
      <c r="F510" t="s">
        <v>7189</v>
      </c>
      <c r="G510" t="s">
        <v>74</v>
      </c>
      <c r="H510" t="s">
        <v>74</v>
      </c>
      <c r="I510" t="s">
        <v>7190</v>
      </c>
      <c r="J510" t="s">
        <v>7140</v>
      </c>
      <c r="K510" t="s">
        <v>74</v>
      </c>
      <c r="L510" t="s">
        <v>74</v>
      </c>
      <c r="M510" t="s">
        <v>78</v>
      </c>
      <c r="N510" t="s">
        <v>775</v>
      </c>
      <c r="O510" t="s">
        <v>74</v>
      </c>
      <c r="P510" t="s">
        <v>74</v>
      </c>
      <c r="Q510" t="s">
        <v>74</v>
      </c>
      <c r="R510" t="s">
        <v>74</v>
      </c>
      <c r="S510" t="s">
        <v>74</v>
      </c>
      <c r="T510" t="s">
        <v>74</v>
      </c>
      <c r="U510" t="s">
        <v>7191</v>
      </c>
      <c r="V510" t="s">
        <v>7192</v>
      </c>
      <c r="W510" t="s">
        <v>7193</v>
      </c>
      <c r="X510" t="s">
        <v>7194</v>
      </c>
      <c r="Y510" t="s">
        <v>7195</v>
      </c>
      <c r="Z510" t="s">
        <v>7196</v>
      </c>
      <c r="AA510" t="s">
        <v>7197</v>
      </c>
      <c r="AB510" t="s">
        <v>7198</v>
      </c>
      <c r="AC510" t="s">
        <v>74</v>
      </c>
      <c r="AD510" t="s">
        <v>74</v>
      </c>
      <c r="AE510" t="s">
        <v>74</v>
      </c>
      <c r="AF510" t="s">
        <v>74</v>
      </c>
      <c r="AG510">
        <v>79</v>
      </c>
      <c r="AH510">
        <v>32</v>
      </c>
      <c r="AI510">
        <v>35</v>
      </c>
      <c r="AJ510">
        <v>0</v>
      </c>
      <c r="AK510">
        <v>26</v>
      </c>
      <c r="AL510" t="s">
        <v>2060</v>
      </c>
      <c r="AM510" t="s">
        <v>2061</v>
      </c>
      <c r="AN510" t="s">
        <v>2062</v>
      </c>
      <c r="AO510" t="s">
        <v>7144</v>
      </c>
      <c r="AP510" t="s">
        <v>7167</v>
      </c>
      <c r="AQ510" t="s">
        <v>74</v>
      </c>
      <c r="AR510" t="s">
        <v>7145</v>
      </c>
      <c r="AS510" t="s">
        <v>7146</v>
      </c>
      <c r="AT510" t="s">
        <v>7090</v>
      </c>
      <c r="AU510">
        <v>2002</v>
      </c>
      <c r="AV510">
        <v>34</v>
      </c>
      <c r="AW510">
        <v>4</v>
      </c>
      <c r="AX510" t="s">
        <v>74</v>
      </c>
      <c r="AY510" t="s">
        <v>74</v>
      </c>
      <c r="AZ510" t="s">
        <v>74</v>
      </c>
      <c r="BA510" t="s">
        <v>74</v>
      </c>
      <c r="BB510">
        <v>408</v>
      </c>
      <c r="BC510">
        <v>418</v>
      </c>
      <c r="BD510" t="s">
        <v>74</v>
      </c>
      <c r="BE510" t="s">
        <v>7199</v>
      </c>
      <c r="BF510" t="str">
        <f>HYPERLINK("http://dx.doi.org/10.2307/1552198","http://dx.doi.org/10.2307/1552198")</f>
        <v>http://dx.doi.org/10.2307/1552198</v>
      </c>
      <c r="BG510" t="s">
        <v>74</v>
      </c>
      <c r="BH510" t="s">
        <v>74</v>
      </c>
      <c r="BI510">
        <v>11</v>
      </c>
      <c r="BJ510" t="s">
        <v>7148</v>
      </c>
      <c r="BK510" t="s">
        <v>569</v>
      </c>
      <c r="BL510" t="s">
        <v>6275</v>
      </c>
      <c r="BM510" t="s">
        <v>7149</v>
      </c>
      <c r="BN510" t="s">
        <v>74</v>
      </c>
      <c r="BO510" t="s">
        <v>74</v>
      </c>
      <c r="BP510" t="s">
        <v>74</v>
      </c>
      <c r="BQ510" t="s">
        <v>74</v>
      </c>
      <c r="BR510" t="s">
        <v>98</v>
      </c>
      <c r="BS510" t="s">
        <v>7200</v>
      </c>
      <c r="BT510" t="str">
        <f>HYPERLINK("https%3A%2F%2Fwww.webofscience.com%2Fwos%2Fwoscc%2Ffull-record%2FWOS:000183096400006","View Full Record in Web of Science")</f>
        <v>View Full Record in Web of Science</v>
      </c>
    </row>
    <row r="511" spans="1:72" x14ac:dyDescent="0.15">
      <c r="A511" t="s">
        <v>552</v>
      </c>
      <c r="B511" t="s">
        <v>7201</v>
      </c>
      <c r="C511" t="s">
        <v>74</v>
      </c>
      <c r="D511" t="s">
        <v>74</v>
      </c>
      <c r="E511" t="s">
        <v>74</v>
      </c>
      <c r="F511" t="s">
        <v>7201</v>
      </c>
      <c r="G511" t="s">
        <v>74</v>
      </c>
      <c r="H511" t="s">
        <v>74</v>
      </c>
      <c r="I511" t="s">
        <v>7202</v>
      </c>
      <c r="J511" t="s">
        <v>7140</v>
      </c>
      <c r="K511" t="s">
        <v>74</v>
      </c>
      <c r="L511" t="s">
        <v>74</v>
      </c>
      <c r="M511" t="s">
        <v>78</v>
      </c>
      <c r="N511" t="s">
        <v>775</v>
      </c>
      <c r="O511" t="s">
        <v>74</v>
      </c>
      <c r="P511" t="s">
        <v>74</v>
      </c>
      <c r="Q511" t="s">
        <v>74</v>
      </c>
      <c r="R511" t="s">
        <v>74</v>
      </c>
      <c r="S511" t="s">
        <v>74</v>
      </c>
      <c r="T511" t="s">
        <v>74</v>
      </c>
      <c r="U511" t="s">
        <v>7203</v>
      </c>
      <c r="V511" t="s">
        <v>7204</v>
      </c>
      <c r="W511" t="s">
        <v>7205</v>
      </c>
      <c r="X511" t="s">
        <v>7206</v>
      </c>
      <c r="Y511" t="s">
        <v>7207</v>
      </c>
      <c r="Z511" t="s">
        <v>7208</v>
      </c>
      <c r="AA511" t="s">
        <v>74</v>
      </c>
      <c r="AB511" t="s">
        <v>74</v>
      </c>
      <c r="AC511" t="s">
        <v>74</v>
      </c>
      <c r="AD511" t="s">
        <v>74</v>
      </c>
      <c r="AE511" t="s">
        <v>74</v>
      </c>
      <c r="AF511" t="s">
        <v>74</v>
      </c>
      <c r="AG511">
        <v>70</v>
      </c>
      <c r="AH511">
        <v>12</v>
      </c>
      <c r="AI511">
        <v>12</v>
      </c>
      <c r="AJ511">
        <v>1</v>
      </c>
      <c r="AK511">
        <v>15</v>
      </c>
      <c r="AL511" t="s">
        <v>2060</v>
      </c>
      <c r="AM511" t="s">
        <v>2061</v>
      </c>
      <c r="AN511" t="s">
        <v>2062</v>
      </c>
      <c r="AO511" t="s">
        <v>7144</v>
      </c>
      <c r="AP511" t="s">
        <v>7167</v>
      </c>
      <c r="AQ511" t="s">
        <v>74</v>
      </c>
      <c r="AR511" t="s">
        <v>7145</v>
      </c>
      <c r="AS511" t="s">
        <v>7146</v>
      </c>
      <c r="AT511" t="s">
        <v>7090</v>
      </c>
      <c r="AU511">
        <v>2002</v>
      </c>
      <c r="AV511">
        <v>34</v>
      </c>
      <c r="AW511">
        <v>4</v>
      </c>
      <c r="AX511" t="s">
        <v>74</v>
      </c>
      <c r="AY511" t="s">
        <v>74</v>
      </c>
      <c r="AZ511" t="s">
        <v>74</v>
      </c>
      <c r="BA511" t="s">
        <v>74</v>
      </c>
      <c r="BB511">
        <v>419</v>
      </c>
      <c r="BC511">
        <v>427</v>
      </c>
      <c r="BD511" t="s">
        <v>74</v>
      </c>
      <c r="BE511" t="s">
        <v>7209</v>
      </c>
      <c r="BF511" t="str">
        <f>HYPERLINK("http://dx.doi.org/10.2307/1552199","http://dx.doi.org/10.2307/1552199")</f>
        <v>http://dx.doi.org/10.2307/1552199</v>
      </c>
      <c r="BG511" t="s">
        <v>74</v>
      </c>
      <c r="BH511" t="s">
        <v>74</v>
      </c>
      <c r="BI511">
        <v>9</v>
      </c>
      <c r="BJ511" t="s">
        <v>7148</v>
      </c>
      <c r="BK511" t="s">
        <v>569</v>
      </c>
      <c r="BL511" t="s">
        <v>6275</v>
      </c>
      <c r="BM511" t="s">
        <v>7149</v>
      </c>
      <c r="BN511" t="s">
        <v>74</v>
      </c>
      <c r="BO511" t="s">
        <v>572</v>
      </c>
      <c r="BP511" t="s">
        <v>74</v>
      </c>
      <c r="BQ511" t="s">
        <v>74</v>
      </c>
      <c r="BR511" t="s">
        <v>98</v>
      </c>
      <c r="BS511" t="s">
        <v>7210</v>
      </c>
      <c r="BT511" t="str">
        <f>HYPERLINK("https%3A%2F%2Fwww.webofscience.com%2Fwos%2Fwoscc%2Ffull-record%2FWOS:000183096400007","View Full Record in Web of Science")</f>
        <v>View Full Record in Web of Science</v>
      </c>
    </row>
    <row r="512" spans="1:72" x14ac:dyDescent="0.15">
      <c r="A512" t="s">
        <v>552</v>
      </c>
      <c r="B512" t="s">
        <v>7211</v>
      </c>
      <c r="C512" t="s">
        <v>74</v>
      </c>
      <c r="D512" t="s">
        <v>74</v>
      </c>
      <c r="E512" t="s">
        <v>74</v>
      </c>
      <c r="F512" t="s">
        <v>7211</v>
      </c>
      <c r="G512" t="s">
        <v>74</v>
      </c>
      <c r="H512" t="s">
        <v>74</v>
      </c>
      <c r="I512" t="s">
        <v>7212</v>
      </c>
      <c r="J512" t="s">
        <v>7140</v>
      </c>
      <c r="K512" t="s">
        <v>74</v>
      </c>
      <c r="L512" t="s">
        <v>74</v>
      </c>
      <c r="M512" t="s">
        <v>78</v>
      </c>
      <c r="N512" t="s">
        <v>775</v>
      </c>
      <c r="O512" t="s">
        <v>74</v>
      </c>
      <c r="P512" t="s">
        <v>74</v>
      </c>
      <c r="Q512" t="s">
        <v>74</v>
      </c>
      <c r="R512" t="s">
        <v>74</v>
      </c>
      <c r="S512" t="s">
        <v>74</v>
      </c>
      <c r="T512" t="s">
        <v>74</v>
      </c>
      <c r="U512" t="s">
        <v>7213</v>
      </c>
      <c r="V512" t="s">
        <v>7214</v>
      </c>
      <c r="W512" t="s">
        <v>7215</v>
      </c>
      <c r="X512" t="s">
        <v>7216</v>
      </c>
      <c r="Y512" t="s">
        <v>7217</v>
      </c>
      <c r="Z512" t="s">
        <v>74</v>
      </c>
      <c r="AA512" t="s">
        <v>7218</v>
      </c>
      <c r="AB512" t="s">
        <v>7219</v>
      </c>
      <c r="AC512" t="s">
        <v>74</v>
      </c>
      <c r="AD512" t="s">
        <v>74</v>
      </c>
      <c r="AE512" t="s">
        <v>74</v>
      </c>
      <c r="AF512" t="s">
        <v>74</v>
      </c>
      <c r="AG512">
        <v>41</v>
      </c>
      <c r="AH512">
        <v>4</v>
      </c>
      <c r="AI512">
        <v>4</v>
      </c>
      <c r="AJ512">
        <v>0</v>
      </c>
      <c r="AK512">
        <v>10</v>
      </c>
      <c r="AL512" t="s">
        <v>7141</v>
      </c>
      <c r="AM512" t="s">
        <v>7142</v>
      </c>
      <c r="AN512" t="s">
        <v>7143</v>
      </c>
      <c r="AO512" t="s">
        <v>7144</v>
      </c>
      <c r="AP512" t="s">
        <v>74</v>
      </c>
      <c r="AQ512" t="s">
        <v>74</v>
      </c>
      <c r="AR512" t="s">
        <v>7145</v>
      </c>
      <c r="AS512" t="s">
        <v>7146</v>
      </c>
      <c r="AT512" t="s">
        <v>7090</v>
      </c>
      <c r="AU512">
        <v>2002</v>
      </c>
      <c r="AV512">
        <v>34</v>
      </c>
      <c r="AW512">
        <v>4</v>
      </c>
      <c r="AX512" t="s">
        <v>74</v>
      </c>
      <c r="AY512" t="s">
        <v>74</v>
      </c>
      <c r="AZ512" t="s">
        <v>74</v>
      </c>
      <c r="BA512" t="s">
        <v>74</v>
      </c>
      <c r="BB512">
        <v>428</v>
      </c>
      <c r="BC512">
        <v>433</v>
      </c>
      <c r="BD512" t="s">
        <v>74</v>
      </c>
      <c r="BE512" t="s">
        <v>7220</v>
      </c>
      <c r="BF512" t="str">
        <f>HYPERLINK("http://dx.doi.org/10.2307/1552200","http://dx.doi.org/10.2307/1552200")</f>
        <v>http://dx.doi.org/10.2307/1552200</v>
      </c>
      <c r="BG512" t="s">
        <v>74</v>
      </c>
      <c r="BH512" t="s">
        <v>74</v>
      </c>
      <c r="BI512">
        <v>6</v>
      </c>
      <c r="BJ512" t="s">
        <v>7148</v>
      </c>
      <c r="BK512" t="s">
        <v>569</v>
      </c>
      <c r="BL512" t="s">
        <v>6275</v>
      </c>
      <c r="BM512" t="s">
        <v>7149</v>
      </c>
      <c r="BN512" t="s">
        <v>74</v>
      </c>
      <c r="BO512" t="s">
        <v>572</v>
      </c>
      <c r="BP512" t="s">
        <v>74</v>
      </c>
      <c r="BQ512" t="s">
        <v>74</v>
      </c>
      <c r="BR512" t="s">
        <v>98</v>
      </c>
      <c r="BS512" t="s">
        <v>7221</v>
      </c>
      <c r="BT512" t="str">
        <f>HYPERLINK("https%3A%2F%2Fwww.webofscience.com%2Fwos%2Fwoscc%2Ffull-record%2FWOS:000183096400008","View Full Record in Web of Science")</f>
        <v>View Full Record in Web of Science</v>
      </c>
    </row>
    <row r="513" spans="1:72" x14ac:dyDescent="0.15">
      <c r="A513" t="s">
        <v>552</v>
      </c>
      <c r="B513" t="s">
        <v>7222</v>
      </c>
      <c r="C513" t="s">
        <v>74</v>
      </c>
      <c r="D513" t="s">
        <v>74</v>
      </c>
      <c r="E513" t="s">
        <v>74</v>
      </c>
      <c r="F513" t="s">
        <v>7222</v>
      </c>
      <c r="G513" t="s">
        <v>74</v>
      </c>
      <c r="H513" t="s">
        <v>74</v>
      </c>
      <c r="I513" t="s">
        <v>7223</v>
      </c>
      <c r="J513" t="s">
        <v>7140</v>
      </c>
      <c r="K513" t="s">
        <v>74</v>
      </c>
      <c r="L513" t="s">
        <v>74</v>
      </c>
      <c r="M513" t="s">
        <v>78</v>
      </c>
      <c r="N513" t="s">
        <v>775</v>
      </c>
      <c r="O513" t="s">
        <v>74</v>
      </c>
      <c r="P513" t="s">
        <v>74</v>
      </c>
      <c r="Q513" t="s">
        <v>74</v>
      </c>
      <c r="R513" t="s">
        <v>74</v>
      </c>
      <c r="S513" t="s">
        <v>74</v>
      </c>
      <c r="T513" t="s">
        <v>74</v>
      </c>
      <c r="U513" t="s">
        <v>7224</v>
      </c>
      <c r="V513" t="s">
        <v>7225</v>
      </c>
      <c r="W513" t="s">
        <v>7226</v>
      </c>
      <c r="X513" t="s">
        <v>7227</v>
      </c>
      <c r="Y513" t="s">
        <v>7228</v>
      </c>
      <c r="Z513" t="s">
        <v>74</v>
      </c>
      <c r="AA513" t="s">
        <v>7229</v>
      </c>
      <c r="AB513" t="s">
        <v>7230</v>
      </c>
      <c r="AC513" t="s">
        <v>74</v>
      </c>
      <c r="AD513" t="s">
        <v>74</v>
      </c>
      <c r="AE513" t="s">
        <v>74</v>
      </c>
      <c r="AF513" t="s">
        <v>74</v>
      </c>
      <c r="AG513">
        <v>30</v>
      </c>
      <c r="AH513">
        <v>78</v>
      </c>
      <c r="AI513">
        <v>87</v>
      </c>
      <c r="AJ513">
        <v>2</v>
      </c>
      <c r="AK513">
        <v>55</v>
      </c>
      <c r="AL513" t="s">
        <v>7141</v>
      </c>
      <c r="AM513" t="s">
        <v>7142</v>
      </c>
      <c r="AN513" t="s">
        <v>7143</v>
      </c>
      <c r="AO513" t="s">
        <v>7144</v>
      </c>
      <c r="AP513" t="s">
        <v>74</v>
      </c>
      <c r="AQ513" t="s">
        <v>74</v>
      </c>
      <c r="AR513" t="s">
        <v>7145</v>
      </c>
      <c r="AS513" t="s">
        <v>7146</v>
      </c>
      <c r="AT513" t="s">
        <v>7090</v>
      </c>
      <c r="AU513">
        <v>2002</v>
      </c>
      <c r="AV513">
        <v>34</v>
      </c>
      <c r="AW513">
        <v>4</v>
      </c>
      <c r="AX513" t="s">
        <v>74</v>
      </c>
      <c r="AY513" t="s">
        <v>74</v>
      </c>
      <c r="AZ513" t="s">
        <v>74</v>
      </c>
      <c r="BA513" t="s">
        <v>74</v>
      </c>
      <c r="BB513">
        <v>434</v>
      </c>
      <c r="BC513">
        <v>439</v>
      </c>
      <c r="BD513" t="s">
        <v>74</v>
      </c>
      <c r="BE513" t="s">
        <v>7231</v>
      </c>
      <c r="BF513" t="str">
        <f>HYPERLINK("http://dx.doi.org/10.2307/1552201","http://dx.doi.org/10.2307/1552201")</f>
        <v>http://dx.doi.org/10.2307/1552201</v>
      </c>
      <c r="BG513" t="s">
        <v>74</v>
      </c>
      <c r="BH513" t="s">
        <v>74</v>
      </c>
      <c r="BI513">
        <v>6</v>
      </c>
      <c r="BJ513" t="s">
        <v>7148</v>
      </c>
      <c r="BK513" t="s">
        <v>569</v>
      </c>
      <c r="BL513" t="s">
        <v>6275</v>
      </c>
      <c r="BM513" t="s">
        <v>7149</v>
      </c>
      <c r="BN513" t="s">
        <v>74</v>
      </c>
      <c r="BO513" t="s">
        <v>572</v>
      </c>
      <c r="BP513" t="s">
        <v>74</v>
      </c>
      <c r="BQ513" t="s">
        <v>74</v>
      </c>
      <c r="BR513" t="s">
        <v>98</v>
      </c>
      <c r="BS513" t="s">
        <v>7232</v>
      </c>
      <c r="BT513" t="str">
        <f>HYPERLINK("https%3A%2F%2Fwww.webofscience.com%2Fwos%2Fwoscc%2Ffull-record%2FWOS:000183096400009","View Full Record in Web of Science")</f>
        <v>View Full Record in Web of Science</v>
      </c>
    </row>
    <row r="514" spans="1:72" x14ac:dyDescent="0.15">
      <c r="A514" t="s">
        <v>552</v>
      </c>
      <c r="B514" t="s">
        <v>7233</v>
      </c>
      <c r="C514" t="s">
        <v>74</v>
      </c>
      <c r="D514" t="s">
        <v>74</v>
      </c>
      <c r="E514" t="s">
        <v>74</v>
      </c>
      <c r="F514" t="s">
        <v>7233</v>
      </c>
      <c r="G514" t="s">
        <v>74</v>
      </c>
      <c r="H514" t="s">
        <v>74</v>
      </c>
      <c r="I514" t="s">
        <v>7234</v>
      </c>
      <c r="J514" t="s">
        <v>7140</v>
      </c>
      <c r="K514" t="s">
        <v>74</v>
      </c>
      <c r="L514" t="s">
        <v>74</v>
      </c>
      <c r="M514" t="s">
        <v>78</v>
      </c>
      <c r="N514" t="s">
        <v>775</v>
      </c>
      <c r="O514" t="s">
        <v>74</v>
      </c>
      <c r="P514" t="s">
        <v>74</v>
      </c>
      <c r="Q514" t="s">
        <v>74</v>
      </c>
      <c r="R514" t="s">
        <v>74</v>
      </c>
      <c r="S514" t="s">
        <v>74</v>
      </c>
      <c r="T514" t="s">
        <v>74</v>
      </c>
      <c r="U514" t="s">
        <v>7235</v>
      </c>
      <c r="V514" t="s">
        <v>7236</v>
      </c>
      <c r="W514" t="s">
        <v>7237</v>
      </c>
      <c r="X514" t="s">
        <v>7238</v>
      </c>
      <c r="Y514" t="s">
        <v>7239</v>
      </c>
      <c r="Z514" t="s">
        <v>74</v>
      </c>
      <c r="AA514" t="s">
        <v>7240</v>
      </c>
      <c r="AB514" t="s">
        <v>7241</v>
      </c>
      <c r="AC514" t="s">
        <v>74</v>
      </c>
      <c r="AD514" t="s">
        <v>74</v>
      </c>
      <c r="AE514" t="s">
        <v>74</v>
      </c>
      <c r="AF514" t="s">
        <v>74</v>
      </c>
      <c r="AG514">
        <v>59</v>
      </c>
      <c r="AH514">
        <v>27</v>
      </c>
      <c r="AI514">
        <v>29</v>
      </c>
      <c r="AJ514">
        <v>0</v>
      </c>
      <c r="AK514">
        <v>14</v>
      </c>
      <c r="AL514" t="s">
        <v>7141</v>
      </c>
      <c r="AM514" t="s">
        <v>7142</v>
      </c>
      <c r="AN514" t="s">
        <v>7143</v>
      </c>
      <c r="AO514" t="s">
        <v>7144</v>
      </c>
      <c r="AP514" t="s">
        <v>74</v>
      </c>
      <c r="AQ514" t="s">
        <v>74</v>
      </c>
      <c r="AR514" t="s">
        <v>7145</v>
      </c>
      <c r="AS514" t="s">
        <v>7146</v>
      </c>
      <c r="AT514" t="s">
        <v>7090</v>
      </c>
      <c r="AU514">
        <v>2002</v>
      </c>
      <c r="AV514">
        <v>34</v>
      </c>
      <c r="AW514">
        <v>4</v>
      </c>
      <c r="AX514" t="s">
        <v>74</v>
      </c>
      <c r="AY514" t="s">
        <v>74</v>
      </c>
      <c r="AZ514" t="s">
        <v>74</v>
      </c>
      <c r="BA514" t="s">
        <v>74</v>
      </c>
      <c r="BB514">
        <v>440</v>
      </c>
      <c r="BC514">
        <v>449</v>
      </c>
      <c r="BD514" t="s">
        <v>74</v>
      </c>
      <c r="BE514" t="s">
        <v>7242</v>
      </c>
      <c r="BF514" t="str">
        <f>HYPERLINK("http://dx.doi.org/10.2307/1552202","http://dx.doi.org/10.2307/1552202")</f>
        <v>http://dx.doi.org/10.2307/1552202</v>
      </c>
      <c r="BG514" t="s">
        <v>74</v>
      </c>
      <c r="BH514" t="s">
        <v>74</v>
      </c>
      <c r="BI514">
        <v>10</v>
      </c>
      <c r="BJ514" t="s">
        <v>7148</v>
      </c>
      <c r="BK514" t="s">
        <v>569</v>
      </c>
      <c r="BL514" t="s">
        <v>6275</v>
      </c>
      <c r="BM514" t="s">
        <v>7149</v>
      </c>
      <c r="BN514" t="s">
        <v>74</v>
      </c>
      <c r="BO514" t="s">
        <v>572</v>
      </c>
      <c r="BP514" t="s">
        <v>74</v>
      </c>
      <c r="BQ514" t="s">
        <v>74</v>
      </c>
      <c r="BR514" t="s">
        <v>98</v>
      </c>
      <c r="BS514" t="s">
        <v>7243</v>
      </c>
      <c r="BT514" t="str">
        <f>HYPERLINK("https%3A%2F%2Fwww.webofscience.com%2Fwos%2Fwoscc%2Ffull-record%2FWOS:000183096400010","View Full Record in Web of Science")</f>
        <v>View Full Record in Web of Science</v>
      </c>
    </row>
    <row r="515" spans="1:72" x14ac:dyDescent="0.15">
      <c r="A515" t="s">
        <v>552</v>
      </c>
      <c r="B515" t="s">
        <v>7244</v>
      </c>
      <c r="C515" t="s">
        <v>74</v>
      </c>
      <c r="D515" t="s">
        <v>74</v>
      </c>
      <c r="E515" t="s">
        <v>74</v>
      </c>
      <c r="F515" t="s">
        <v>7244</v>
      </c>
      <c r="G515" t="s">
        <v>74</v>
      </c>
      <c r="H515" t="s">
        <v>74</v>
      </c>
      <c r="I515" t="s">
        <v>7245</v>
      </c>
      <c r="J515" t="s">
        <v>7140</v>
      </c>
      <c r="K515" t="s">
        <v>74</v>
      </c>
      <c r="L515" t="s">
        <v>74</v>
      </c>
      <c r="M515" t="s">
        <v>78</v>
      </c>
      <c r="N515" t="s">
        <v>775</v>
      </c>
      <c r="O515" t="s">
        <v>74</v>
      </c>
      <c r="P515" t="s">
        <v>74</v>
      </c>
      <c r="Q515" t="s">
        <v>74</v>
      </c>
      <c r="R515" t="s">
        <v>74</v>
      </c>
      <c r="S515" t="s">
        <v>74</v>
      </c>
      <c r="T515" t="s">
        <v>74</v>
      </c>
      <c r="U515" t="s">
        <v>7246</v>
      </c>
      <c r="V515" t="s">
        <v>7247</v>
      </c>
      <c r="W515" t="s">
        <v>7248</v>
      </c>
      <c r="X515" t="s">
        <v>7249</v>
      </c>
      <c r="Y515" t="s">
        <v>7250</v>
      </c>
      <c r="Z515" t="s">
        <v>7251</v>
      </c>
      <c r="AA515" t="s">
        <v>7252</v>
      </c>
      <c r="AB515" t="s">
        <v>7253</v>
      </c>
      <c r="AC515" t="s">
        <v>74</v>
      </c>
      <c r="AD515" t="s">
        <v>74</v>
      </c>
      <c r="AE515" t="s">
        <v>74</v>
      </c>
      <c r="AF515" t="s">
        <v>74</v>
      </c>
      <c r="AG515">
        <v>19</v>
      </c>
      <c r="AH515">
        <v>114</v>
      </c>
      <c r="AI515">
        <v>128</v>
      </c>
      <c r="AJ515">
        <v>4</v>
      </c>
      <c r="AK515">
        <v>33</v>
      </c>
      <c r="AL515" t="s">
        <v>2060</v>
      </c>
      <c r="AM515" t="s">
        <v>2061</v>
      </c>
      <c r="AN515" t="s">
        <v>2062</v>
      </c>
      <c r="AO515" t="s">
        <v>7144</v>
      </c>
      <c r="AP515" t="s">
        <v>7167</v>
      </c>
      <c r="AQ515" t="s">
        <v>74</v>
      </c>
      <c r="AR515" t="s">
        <v>7145</v>
      </c>
      <c r="AS515" t="s">
        <v>7146</v>
      </c>
      <c r="AT515" t="s">
        <v>7090</v>
      </c>
      <c r="AU515">
        <v>2002</v>
      </c>
      <c r="AV515">
        <v>34</v>
      </c>
      <c r="AW515">
        <v>4</v>
      </c>
      <c r="AX515" t="s">
        <v>74</v>
      </c>
      <c r="AY515" t="s">
        <v>74</v>
      </c>
      <c r="AZ515" t="s">
        <v>74</v>
      </c>
      <c r="BA515" t="s">
        <v>74</v>
      </c>
      <c r="BB515">
        <v>450</v>
      </c>
      <c r="BC515">
        <v>453</v>
      </c>
      <c r="BD515" t="s">
        <v>74</v>
      </c>
      <c r="BE515" t="s">
        <v>7254</v>
      </c>
      <c r="BF515" t="str">
        <f>HYPERLINK("http://dx.doi.org/10.2307/1552203","http://dx.doi.org/10.2307/1552203")</f>
        <v>http://dx.doi.org/10.2307/1552203</v>
      </c>
      <c r="BG515" t="s">
        <v>74</v>
      </c>
      <c r="BH515" t="s">
        <v>74</v>
      </c>
      <c r="BI515">
        <v>4</v>
      </c>
      <c r="BJ515" t="s">
        <v>7148</v>
      </c>
      <c r="BK515" t="s">
        <v>569</v>
      </c>
      <c r="BL515" t="s">
        <v>6275</v>
      </c>
      <c r="BM515" t="s">
        <v>7149</v>
      </c>
      <c r="BN515" t="s">
        <v>74</v>
      </c>
      <c r="BO515" t="s">
        <v>572</v>
      </c>
      <c r="BP515" t="s">
        <v>74</v>
      </c>
      <c r="BQ515" t="s">
        <v>74</v>
      </c>
      <c r="BR515" t="s">
        <v>98</v>
      </c>
      <c r="BS515" t="s">
        <v>7255</v>
      </c>
      <c r="BT515" t="str">
        <f>HYPERLINK("https%3A%2F%2Fwww.webofscience.com%2Fwos%2Fwoscc%2Ffull-record%2FWOS:000183096400011","View Full Record in Web of Science")</f>
        <v>View Full Record in Web of Science</v>
      </c>
    </row>
    <row r="516" spans="1:72" x14ac:dyDescent="0.15">
      <c r="A516" t="s">
        <v>552</v>
      </c>
      <c r="B516" t="s">
        <v>7256</v>
      </c>
      <c r="C516" t="s">
        <v>74</v>
      </c>
      <c r="D516" t="s">
        <v>74</v>
      </c>
      <c r="E516" t="s">
        <v>74</v>
      </c>
      <c r="F516" t="s">
        <v>7256</v>
      </c>
      <c r="G516" t="s">
        <v>74</v>
      </c>
      <c r="H516" t="s">
        <v>74</v>
      </c>
      <c r="I516" t="s">
        <v>7257</v>
      </c>
      <c r="J516" t="s">
        <v>7140</v>
      </c>
      <c r="K516" t="s">
        <v>74</v>
      </c>
      <c r="L516" t="s">
        <v>74</v>
      </c>
      <c r="M516" t="s">
        <v>78</v>
      </c>
      <c r="N516" t="s">
        <v>775</v>
      </c>
      <c r="O516" t="s">
        <v>74</v>
      </c>
      <c r="P516" t="s">
        <v>74</v>
      </c>
      <c r="Q516" t="s">
        <v>74</v>
      </c>
      <c r="R516" t="s">
        <v>74</v>
      </c>
      <c r="S516" t="s">
        <v>74</v>
      </c>
      <c r="T516" t="s">
        <v>74</v>
      </c>
      <c r="U516" t="s">
        <v>7258</v>
      </c>
      <c r="V516" t="s">
        <v>7259</v>
      </c>
      <c r="W516" t="s">
        <v>7260</v>
      </c>
      <c r="X516" t="s">
        <v>7261</v>
      </c>
      <c r="Y516" t="s">
        <v>7262</v>
      </c>
      <c r="Z516" t="s">
        <v>74</v>
      </c>
      <c r="AA516" t="s">
        <v>74</v>
      </c>
      <c r="AB516" t="s">
        <v>74</v>
      </c>
      <c r="AC516" t="s">
        <v>74</v>
      </c>
      <c r="AD516" t="s">
        <v>74</v>
      </c>
      <c r="AE516" t="s">
        <v>74</v>
      </c>
      <c r="AF516" t="s">
        <v>74</v>
      </c>
      <c r="AG516">
        <v>61</v>
      </c>
      <c r="AH516">
        <v>25</v>
      </c>
      <c r="AI516">
        <v>29</v>
      </c>
      <c r="AJ516">
        <v>0</v>
      </c>
      <c r="AK516">
        <v>13</v>
      </c>
      <c r="AL516" t="s">
        <v>7141</v>
      </c>
      <c r="AM516" t="s">
        <v>7142</v>
      </c>
      <c r="AN516" t="s">
        <v>7143</v>
      </c>
      <c r="AO516" t="s">
        <v>7144</v>
      </c>
      <c r="AP516" t="s">
        <v>74</v>
      </c>
      <c r="AQ516" t="s">
        <v>74</v>
      </c>
      <c r="AR516" t="s">
        <v>7145</v>
      </c>
      <c r="AS516" t="s">
        <v>7146</v>
      </c>
      <c r="AT516" t="s">
        <v>7090</v>
      </c>
      <c r="AU516">
        <v>2002</v>
      </c>
      <c r="AV516">
        <v>34</v>
      </c>
      <c r="AW516">
        <v>4</v>
      </c>
      <c r="AX516" t="s">
        <v>74</v>
      </c>
      <c r="AY516" t="s">
        <v>74</v>
      </c>
      <c r="AZ516" t="s">
        <v>74</v>
      </c>
      <c r="BA516" t="s">
        <v>74</v>
      </c>
      <c r="BB516">
        <v>454</v>
      </c>
      <c r="BC516">
        <v>464</v>
      </c>
      <c r="BD516" t="s">
        <v>74</v>
      </c>
      <c r="BE516" t="s">
        <v>7263</v>
      </c>
      <c r="BF516" t="str">
        <f>HYPERLINK("http://dx.doi.org/10.2307/1552204","http://dx.doi.org/10.2307/1552204")</f>
        <v>http://dx.doi.org/10.2307/1552204</v>
      </c>
      <c r="BG516" t="s">
        <v>74</v>
      </c>
      <c r="BH516" t="s">
        <v>74</v>
      </c>
      <c r="BI516">
        <v>11</v>
      </c>
      <c r="BJ516" t="s">
        <v>7148</v>
      </c>
      <c r="BK516" t="s">
        <v>569</v>
      </c>
      <c r="BL516" t="s">
        <v>6275</v>
      </c>
      <c r="BM516" t="s">
        <v>7149</v>
      </c>
      <c r="BN516" t="s">
        <v>74</v>
      </c>
      <c r="BO516" t="s">
        <v>74</v>
      </c>
      <c r="BP516" t="s">
        <v>74</v>
      </c>
      <c r="BQ516" t="s">
        <v>74</v>
      </c>
      <c r="BR516" t="s">
        <v>98</v>
      </c>
      <c r="BS516" t="s">
        <v>7264</v>
      </c>
      <c r="BT516" t="str">
        <f>HYPERLINK("https%3A%2F%2Fwww.webofscience.com%2Fwos%2Fwoscc%2Ffull-record%2FWOS:000183096400012","View Full Record in Web of Science")</f>
        <v>View Full Record in Web of Science</v>
      </c>
    </row>
    <row r="517" spans="1:72" x14ac:dyDescent="0.15">
      <c r="A517" t="s">
        <v>552</v>
      </c>
      <c r="B517" t="s">
        <v>7265</v>
      </c>
      <c r="C517" t="s">
        <v>74</v>
      </c>
      <c r="D517" t="s">
        <v>74</v>
      </c>
      <c r="E517" t="s">
        <v>74</v>
      </c>
      <c r="F517" t="s">
        <v>7265</v>
      </c>
      <c r="G517" t="s">
        <v>74</v>
      </c>
      <c r="H517" t="s">
        <v>74</v>
      </c>
      <c r="I517" t="s">
        <v>7266</v>
      </c>
      <c r="J517" t="s">
        <v>7140</v>
      </c>
      <c r="K517" t="s">
        <v>74</v>
      </c>
      <c r="L517" t="s">
        <v>74</v>
      </c>
      <c r="M517" t="s">
        <v>78</v>
      </c>
      <c r="N517" t="s">
        <v>775</v>
      </c>
      <c r="O517" t="s">
        <v>74</v>
      </c>
      <c r="P517" t="s">
        <v>74</v>
      </c>
      <c r="Q517" t="s">
        <v>74</v>
      </c>
      <c r="R517" t="s">
        <v>74</v>
      </c>
      <c r="S517" t="s">
        <v>74</v>
      </c>
      <c r="T517" t="s">
        <v>74</v>
      </c>
      <c r="U517" t="s">
        <v>7267</v>
      </c>
      <c r="V517" t="s">
        <v>7268</v>
      </c>
      <c r="W517" t="s">
        <v>7269</v>
      </c>
      <c r="X517" t="s">
        <v>5684</v>
      </c>
      <c r="Y517" t="s">
        <v>7270</v>
      </c>
      <c r="Z517" t="s">
        <v>7271</v>
      </c>
      <c r="AA517" t="s">
        <v>7272</v>
      </c>
      <c r="AB517" t="s">
        <v>74</v>
      </c>
      <c r="AC517" t="s">
        <v>74</v>
      </c>
      <c r="AD517" t="s">
        <v>74</v>
      </c>
      <c r="AE517" t="s">
        <v>74</v>
      </c>
      <c r="AF517" t="s">
        <v>74</v>
      </c>
      <c r="AG517">
        <v>45</v>
      </c>
      <c r="AH517">
        <v>27</v>
      </c>
      <c r="AI517">
        <v>28</v>
      </c>
      <c r="AJ517">
        <v>3</v>
      </c>
      <c r="AK517">
        <v>14</v>
      </c>
      <c r="AL517" t="s">
        <v>7141</v>
      </c>
      <c r="AM517" t="s">
        <v>7142</v>
      </c>
      <c r="AN517" t="s">
        <v>7143</v>
      </c>
      <c r="AO517" t="s">
        <v>7144</v>
      </c>
      <c r="AP517" t="s">
        <v>7167</v>
      </c>
      <c r="AQ517" t="s">
        <v>74</v>
      </c>
      <c r="AR517" t="s">
        <v>7145</v>
      </c>
      <c r="AS517" t="s">
        <v>7146</v>
      </c>
      <c r="AT517" t="s">
        <v>7090</v>
      </c>
      <c r="AU517">
        <v>2002</v>
      </c>
      <c r="AV517">
        <v>34</v>
      </c>
      <c r="AW517">
        <v>4</v>
      </c>
      <c r="AX517" t="s">
        <v>74</v>
      </c>
      <c r="AY517" t="s">
        <v>74</v>
      </c>
      <c r="AZ517" t="s">
        <v>74</v>
      </c>
      <c r="BA517" t="s">
        <v>74</v>
      </c>
      <c r="BB517">
        <v>465</v>
      </c>
      <c r="BC517">
        <v>476</v>
      </c>
      <c r="BD517" t="s">
        <v>74</v>
      </c>
      <c r="BE517" t="s">
        <v>7273</v>
      </c>
      <c r="BF517" t="str">
        <f>HYPERLINK("http://dx.doi.org/10.2307/1552205","http://dx.doi.org/10.2307/1552205")</f>
        <v>http://dx.doi.org/10.2307/1552205</v>
      </c>
      <c r="BG517" t="s">
        <v>74</v>
      </c>
      <c r="BH517" t="s">
        <v>74</v>
      </c>
      <c r="BI517">
        <v>12</v>
      </c>
      <c r="BJ517" t="s">
        <v>7148</v>
      </c>
      <c r="BK517" t="s">
        <v>569</v>
      </c>
      <c r="BL517" t="s">
        <v>6275</v>
      </c>
      <c r="BM517" t="s">
        <v>7149</v>
      </c>
      <c r="BN517" t="s">
        <v>74</v>
      </c>
      <c r="BO517" t="s">
        <v>572</v>
      </c>
      <c r="BP517" t="s">
        <v>74</v>
      </c>
      <c r="BQ517" t="s">
        <v>74</v>
      </c>
      <c r="BR517" t="s">
        <v>98</v>
      </c>
      <c r="BS517" t="s">
        <v>7274</v>
      </c>
      <c r="BT517" t="str">
        <f>HYPERLINK("https%3A%2F%2Fwww.webofscience.com%2Fwos%2Fwoscc%2Ffull-record%2FWOS:000183096400013","View Full Record in Web of Science")</f>
        <v>View Full Record in Web of Science</v>
      </c>
    </row>
    <row r="518" spans="1:72" x14ac:dyDescent="0.15">
      <c r="A518" t="s">
        <v>552</v>
      </c>
      <c r="B518" t="s">
        <v>7275</v>
      </c>
      <c r="C518" t="s">
        <v>74</v>
      </c>
      <c r="D518" t="s">
        <v>74</v>
      </c>
      <c r="E518" t="s">
        <v>74</v>
      </c>
      <c r="F518" t="s">
        <v>7275</v>
      </c>
      <c r="G518" t="s">
        <v>74</v>
      </c>
      <c r="H518" t="s">
        <v>74</v>
      </c>
      <c r="I518" t="s">
        <v>7276</v>
      </c>
      <c r="J518" t="s">
        <v>7140</v>
      </c>
      <c r="K518" t="s">
        <v>74</v>
      </c>
      <c r="L518" t="s">
        <v>74</v>
      </c>
      <c r="M518" t="s">
        <v>78</v>
      </c>
      <c r="N518" t="s">
        <v>775</v>
      </c>
      <c r="O518" t="s">
        <v>74</v>
      </c>
      <c r="P518" t="s">
        <v>74</v>
      </c>
      <c r="Q518" t="s">
        <v>74</v>
      </c>
      <c r="R518" t="s">
        <v>74</v>
      </c>
      <c r="S518" t="s">
        <v>74</v>
      </c>
      <c r="T518" t="s">
        <v>74</v>
      </c>
      <c r="U518" t="s">
        <v>7277</v>
      </c>
      <c r="V518" t="s">
        <v>7278</v>
      </c>
      <c r="W518" t="s">
        <v>7279</v>
      </c>
      <c r="X518" t="s">
        <v>417</v>
      </c>
      <c r="Y518" t="s">
        <v>7280</v>
      </c>
      <c r="Z518" t="s">
        <v>7281</v>
      </c>
      <c r="AA518" t="s">
        <v>7282</v>
      </c>
      <c r="AB518" t="s">
        <v>74</v>
      </c>
      <c r="AC518" t="s">
        <v>74</v>
      </c>
      <c r="AD518" t="s">
        <v>74</v>
      </c>
      <c r="AE518" t="s">
        <v>74</v>
      </c>
      <c r="AF518" t="s">
        <v>74</v>
      </c>
      <c r="AG518">
        <v>24</v>
      </c>
      <c r="AH518">
        <v>68</v>
      </c>
      <c r="AI518">
        <v>73</v>
      </c>
      <c r="AJ518">
        <v>1</v>
      </c>
      <c r="AK518">
        <v>18</v>
      </c>
      <c r="AL518" t="s">
        <v>7141</v>
      </c>
      <c r="AM518" t="s">
        <v>7142</v>
      </c>
      <c r="AN518" t="s">
        <v>7143</v>
      </c>
      <c r="AO518" t="s">
        <v>7144</v>
      </c>
      <c r="AP518" t="s">
        <v>74</v>
      </c>
      <c r="AQ518" t="s">
        <v>74</v>
      </c>
      <c r="AR518" t="s">
        <v>7145</v>
      </c>
      <c r="AS518" t="s">
        <v>7146</v>
      </c>
      <c r="AT518" t="s">
        <v>7090</v>
      </c>
      <c r="AU518">
        <v>2002</v>
      </c>
      <c r="AV518">
        <v>34</v>
      </c>
      <c r="AW518">
        <v>4</v>
      </c>
      <c r="AX518" t="s">
        <v>74</v>
      </c>
      <c r="AY518" t="s">
        <v>74</v>
      </c>
      <c r="AZ518" t="s">
        <v>74</v>
      </c>
      <c r="BA518" t="s">
        <v>74</v>
      </c>
      <c r="BB518">
        <v>477</v>
      </c>
      <c r="BC518">
        <v>485</v>
      </c>
      <c r="BD518" t="s">
        <v>74</v>
      </c>
      <c r="BE518" t="s">
        <v>7283</v>
      </c>
      <c r="BF518" t="str">
        <f>HYPERLINK("http://dx.doi.org/10.2307/1552206","http://dx.doi.org/10.2307/1552206")</f>
        <v>http://dx.doi.org/10.2307/1552206</v>
      </c>
      <c r="BG518" t="s">
        <v>74</v>
      </c>
      <c r="BH518" t="s">
        <v>74</v>
      </c>
      <c r="BI518">
        <v>9</v>
      </c>
      <c r="BJ518" t="s">
        <v>7148</v>
      </c>
      <c r="BK518" t="s">
        <v>569</v>
      </c>
      <c r="BL518" t="s">
        <v>6275</v>
      </c>
      <c r="BM518" t="s">
        <v>7149</v>
      </c>
      <c r="BN518" t="s">
        <v>74</v>
      </c>
      <c r="BO518" t="s">
        <v>7284</v>
      </c>
      <c r="BP518" t="s">
        <v>74</v>
      </c>
      <c r="BQ518" t="s">
        <v>74</v>
      </c>
      <c r="BR518" t="s">
        <v>98</v>
      </c>
      <c r="BS518" t="s">
        <v>7285</v>
      </c>
      <c r="BT518" t="str">
        <f>HYPERLINK("https%3A%2F%2Fwww.webofscience.com%2Fwos%2Fwoscc%2Ffull-record%2FWOS:000183096400014","View Full Record in Web of Science")</f>
        <v>View Full Record in Web of Science</v>
      </c>
    </row>
    <row r="519" spans="1:72" x14ac:dyDescent="0.15">
      <c r="A519" t="s">
        <v>552</v>
      </c>
      <c r="B519" t="s">
        <v>7286</v>
      </c>
      <c r="C519" t="s">
        <v>74</v>
      </c>
      <c r="D519" t="s">
        <v>74</v>
      </c>
      <c r="E519" t="s">
        <v>74</v>
      </c>
      <c r="F519" t="s">
        <v>7286</v>
      </c>
      <c r="G519" t="s">
        <v>74</v>
      </c>
      <c r="H519" t="s">
        <v>74</v>
      </c>
      <c r="I519" t="s">
        <v>7287</v>
      </c>
      <c r="J519" t="s">
        <v>7140</v>
      </c>
      <c r="K519" t="s">
        <v>74</v>
      </c>
      <c r="L519" t="s">
        <v>74</v>
      </c>
      <c r="M519" t="s">
        <v>78</v>
      </c>
      <c r="N519" t="s">
        <v>1792</v>
      </c>
      <c r="O519" t="s">
        <v>74</v>
      </c>
      <c r="P519" t="s">
        <v>74</v>
      </c>
      <c r="Q519" t="s">
        <v>74</v>
      </c>
      <c r="R519" t="s">
        <v>74</v>
      </c>
      <c r="S519" t="s">
        <v>74</v>
      </c>
      <c r="T519" t="s">
        <v>74</v>
      </c>
      <c r="U519" t="s">
        <v>74</v>
      </c>
      <c r="V519" t="s">
        <v>74</v>
      </c>
      <c r="W519" t="s">
        <v>74</v>
      </c>
      <c r="X519" t="s">
        <v>74</v>
      </c>
      <c r="Y519" t="s">
        <v>74</v>
      </c>
      <c r="Z519" t="s">
        <v>74</v>
      </c>
      <c r="AA519" t="s">
        <v>74</v>
      </c>
      <c r="AB519" t="s">
        <v>74</v>
      </c>
      <c r="AC519" t="s">
        <v>74</v>
      </c>
      <c r="AD519" t="s">
        <v>74</v>
      </c>
      <c r="AE519" t="s">
        <v>74</v>
      </c>
      <c r="AF519" t="s">
        <v>74</v>
      </c>
      <c r="AG519">
        <v>1</v>
      </c>
      <c r="AH519">
        <v>0</v>
      </c>
      <c r="AI519">
        <v>0</v>
      </c>
      <c r="AJ519">
        <v>0</v>
      </c>
      <c r="AK519">
        <v>1</v>
      </c>
      <c r="AL519" t="s">
        <v>2060</v>
      </c>
      <c r="AM519" t="s">
        <v>2061</v>
      </c>
      <c r="AN519" t="s">
        <v>2062</v>
      </c>
      <c r="AO519" t="s">
        <v>7144</v>
      </c>
      <c r="AP519" t="s">
        <v>7167</v>
      </c>
      <c r="AQ519" t="s">
        <v>74</v>
      </c>
      <c r="AR519" t="s">
        <v>7145</v>
      </c>
      <c r="AS519" t="s">
        <v>7146</v>
      </c>
      <c r="AT519" t="s">
        <v>7090</v>
      </c>
      <c r="AU519">
        <v>2002</v>
      </c>
      <c r="AV519">
        <v>34</v>
      </c>
      <c r="AW519">
        <v>4</v>
      </c>
      <c r="AX519" t="s">
        <v>74</v>
      </c>
      <c r="AY519" t="s">
        <v>74</v>
      </c>
      <c r="AZ519" t="s">
        <v>74</v>
      </c>
      <c r="BA519" t="s">
        <v>74</v>
      </c>
      <c r="BB519">
        <v>485</v>
      </c>
      <c r="BC519">
        <v>485</v>
      </c>
      <c r="BD519" t="s">
        <v>74</v>
      </c>
      <c r="BE519" t="s">
        <v>74</v>
      </c>
      <c r="BF519" t="s">
        <v>74</v>
      </c>
      <c r="BG519" t="s">
        <v>74</v>
      </c>
      <c r="BH519" t="s">
        <v>74</v>
      </c>
      <c r="BI519">
        <v>1</v>
      </c>
      <c r="BJ519" t="s">
        <v>7148</v>
      </c>
      <c r="BK519" t="s">
        <v>569</v>
      </c>
      <c r="BL519" t="s">
        <v>6275</v>
      </c>
      <c r="BM519" t="s">
        <v>7149</v>
      </c>
      <c r="BN519" t="s">
        <v>74</v>
      </c>
      <c r="BO519" t="s">
        <v>74</v>
      </c>
      <c r="BP519" t="s">
        <v>74</v>
      </c>
      <c r="BQ519" t="s">
        <v>74</v>
      </c>
      <c r="BR519" t="s">
        <v>98</v>
      </c>
      <c r="BS519" t="s">
        <v>7288</v>
      </c>
      <c r="BT519" t="str">
        <f>HYPERLINK("https%3A%2F%2Fwww.webofscience.com%2Fwos%2Fwoscc%2Ffull-record%2FWOS:000183096400015","View Full Record in Web of Science")</f>
        <v>View Full Record in Web of Science</v>
      </c>
    </row>
    <row r="520" spans="1:72" x14ac:dyDescent="0.15">
      <c r="A520" t="s">
        <v>552</v>
      </c>
      <c r="B520" t="s">
        <v>7289</v>
      </c>
      <c r="C520" t="s">
        <v>74</v>
      </c>
      <c r="D520" t="s">
        <v>74</v>
      </c>
      <c r="E520" t="s">
        <v>74</v>
      </c>
      <c r="F520" t="s">
        <v>7289</v>
      </c>
      <c r="G520" t="s">
        <v>74</v>
      </c>
      <c r="H520" t="s">
        <v>74</v>
      </c>
      <c r="I520" t="s">
        <v>7290</v>
      </c>
      <c r="J520" t="s">
        <v>798</v>
      </c>
      <c r="K520" t="s">
        <v>74</v>
      </c>
      <c r="L520" t="s">
        <v>74</v>
      </c>
      <c r="M520" t="s">
        <v>78</v>
      </c>
      <c r="N520" t="s">
        <v>775</v>
      </c>
      <c r="O520" t="s">
        <v>74</v>
      </c>
      <c r="P520" t="s">
        <v>74</v>
      </c>
      <c r="Q520" t="s">
        <v>74</v>
      </c>
      <c r="R520" t="s">
        <v>74</v>
      </c>
      <c r="S520" t="s">
        <v>74</v>
      </c>
      <c r="T520" t="s">
        <v>7291</v>
      </c>
      <c r="U520" t="s">
        <v>7292</v>
      </c>
      <c r="V520" t="s">
        <v>7293</v>
      </c>
      <c r="W520" t="s">
        <v>7294</v>
      </c>
      <c r="X520" t="s">
        <v>7295</v>
      </c>
      <c r="Y520" t="s">
        <v>7296</v>
      </c>
      <c r="Z520" t="s">
        <v>7297</v>
      </c>
      <c r="AA520" t="s">
        <v>74</v>
      </c>
      <c r="AB520" t="s">
        <v>7298</v>
      </c>
      <c r="AC520" t="s">
        <v>74</v>
      </c>
      <c r="AD520" t="s">
        <v>74</v>
      </c>
      <c r="AE520" t="s">
        <v>74</v>
      </c>
      <c r="AF520" t="s">
        <v>74</v>
      </c>
      <c r="AG520">
        <v>48</v>
      </c>
      <c r="AH520">
        <v>116</v>
      </c>
      <c r="AI520">
        <v>130</v>
      </c>
      <c r="AJ520">
        <v>2</v>
      </c>
      <c r="AK520">
        <v>19</v>
      </c>
      <c r="AL520" t="s">
        <v>806</v>
      </c>
      <c r="AM520" t="s">
        <v>807</v>
      </c>
      <c r="AN520" t="s">
        <v>808</v>
      </c>
      <c r="AO520" t="s">
        <v>809</v>
      </c>
      <c r="AP520" t="s">
        <v>810</v>
      </c>
      <c r="AQ520" t="s">
        <v>74</v>
      </c>
      <c r="AR520" t="s">
        <v>811</v>
      </c>
      <c r="AS520" t="s">
        <v>812</v>
      </c>
      <c r="AT520" t="s">
        <v>7090</v>
      </c>
      <c r="AU520">
        <v>2002</v>
      </c>
      <c r="AV520">
        <v>36</v>
      </c>
      <c r="AW520">
        <v>34</v>
      </c>
      <c r="AX520" t="s">
        <v>74</v>
      </c>
      <c r="AY520" t="s">
        <v>74</v>
      </c>
      <c r="AZ520" t="s">
        <v>74</v>
      </c>
      <c r="BA520" t="s">
        <v>74</v>
      </c>
      <c r="BB520">
        <v>5267</v>
      </c>
      <c r="BC520">
        <v>5276</v>
      </c>
      <c r="BD520" t="s">
        <v>7299</v>
      </c>
      <c r="BE520" t="s">
        <v>7300</v>
      </c>
      <c r="BF520" t="str">
        <f>HYPERLINK("http://dx.doi.org/10.1016/S1352-2310(02)00691-X","http://dx.doi.org/10.1016/S1352-2310(02)00691-X")</f>
        <v>http://dx.doi.org/10.1016/S1352-2310(02)00691-X</v>
      </c>
      <c r="BG520" t="s">
        <v>74</v>
      </c>
      <c r="BH520" t="s">
        <v>74</v>
      </c>
      <c r="BI520">
        <v>10</v>
      </c>
      <c r="BJ520" t="s">
        <v>815</v>
      </c>
      <c r="BK520" t="s">
        <v>569</v>
      </c>
      <c r="BL520" t="s">
        <v>96</v>
      </c>
      <c r="BM520" t="s">
        <v>7301</v>
      </c>
      <c r="BN520" t="s">
        <v>74</v>
      </c>
      <c r="BO520" t="s">
        <v>74</v>
      </c>
      <c r="BP520" t="s">
        <v>74</v>
      </c>
      <c r="BQ520" t="s">
        <v>74</v>
      </c>
      <c r="BR520" t="s">
        <v>98</v>
      </c>
      <c r="BS520" t="s">
        <v>7302</v>
      </c>
      <c r="BT520" t="str">
        <f>HYPERLINK("https%3A%2F%2Fwww.webofscience.com%2Fwos%2Fwoscc%2Ffull-record%2FWOS:000179215200001","View Full Record in Web of Science")</f>
        <v>View Full Record in Web of Science</v>
      </c>
    </row>
    <row r="521" spans="1:72" x14ac:dyDescent="0.15">
      <c r="A521" t="s">
        <v>552</v>
      </c>
      <c r="B521" t="s">
        <v>7303</v>
      </c>
      <c r="C521" t="s">
        <v>74</v>
      </c>
      <c r="D521" t="s">
        <v>74</v>
      </c>
      <c r="E521" t="s">
        <v>74</v>
      </c>
      <c r="F521" t="s">
        <v>7303</v>
      </c>
      <c r="G521" t="s">
        <v>74</v>
      </c>
      <c r="H521" t="s">
        <v>74</v>
      </c>
      <c r="I521" t="s">
        <v>7304</v>
      </c>
      <c r="J521" t="s">
        <v>7305</v>
      </c>
      <c r="K521" t="s">
        <v>74</v>
      </c>
      <c r="L521" t="s">
        <v>74</v>
      </c>
      <c r="M521" t="s">
        <v>78</v>
      </c>
      <c r="N521" t="s">
        <v>775</v>
      </c>
      <c r="O521" t="s">
        <v>74</v>
      </c>
      <c r="P521" t="s">
        <v>74</v>
      </c>
      <c r="Q521" t="s">
        <v>74</v>
      </c>
      <c r="R521" t="s">
        <v>74</v>
      </c>
      <c r="S521" t="s">
        <v>74</v>
      </c>
      <c r="T521" t="s">
        <v>7306</v>
      </c>
      <c r="U521" t="s">
        <v>7307</v>
      </c>
      <c r="V521" t="s">
        <v>7308</v>
      </c>
      <c r="W521" t="s">
        <v>7309</v>
      </c>
      <c r="X521" t="s">
        <v>7310</v>
      </c>
      <c r="Y521" t="s">
        <v>7311</v>
      </c>
      <c r="Z521" t="s">
        <v>74</v>
      </c>
      <c r="AA521" t="s">
        <v>74</v>
      </c>
      <c r="AB521" t="s">
        <v>74</v>
      </c>
      <c r="AC521" t="s">
        <v>74</v>
      </c>
      <c r="AD521" t="s">
        <v>74</v>
      </c>
      <c r="AE521" t="s">
        <v>74</v>
      </c>
      <c r="AF521" t="s">
        <v>74</v>
      </c>
      <c r="AG521">
        <v>58</v>
      </c>
      <c r="AH521">
        <v>14</v>
      </c>
      <c r="AI521">
        <v>14</v>
      </c>
      <c r="AJ521">
        <v>0</v>
      </c>
      <c r="AK521">
        <v>8</v>
      </c>
      <c r="AL521" t="s">
        <v>1287</v>
      </c>
      <c r="AM521" t="s">
        <v>561</v>
      </c>
      <c r="AN521" t="s">
        <v>7312</v>
      </c>
      <c r="AO521" t="s">
        <v>7313</v>
      </c>
      <c r="AP521" t="s">
        <v>74</v>
      </c>
      <c r="AQ521" t="s">
        <v>74</v>
      </c>
      <c r="AR521" t="s">
        <v>7314</v>
      </c>
      <c r="AS521" t="s">
        <v>7315</v>
      </c>
      <c r="AT521" t="s">
        <v>7134</v>
      </c>
      <c r="AU521">
        <v>2002</v>
      </c>
      <c r="AV521">
        <v>65</v>
      </c>
      <c r="AW521" t="s">
        <v>1866</v>
      </c>
      <c r="AX521" t="s">
        <v>74</v>
      </c>
      <c r="AY521" t="s">
        <v>74</v>
      </c>
      <c r="AZ521" t="s">
        <v>74</v>
      </c>
      <c r="BA521" t="s">
        <v>74</v>
      </c>
      <c r="BB521">
        <v>51</v>
      </c>
      <c r="BC521">
        <v>76</v>
      </c>
      <c r="BD521" t="s">
        <v>7316</v>
      </c>
      <c r="BE521" t="s">
        <v>7317</v>
      </c>
      <c r="BF521" t="str">
        <f>HYPERLINK("http://dx.doi.org/10.1016/S0169-8095(02)00121-7","http://dx.doi.org/10.1016/S0169-8095(02)00121-7")</f>
        <v>http://dx.doi.org/10.1016/S0169-8095(02)00121-7</v>
      </c>
      <c r="BG521" t="s">
        <v>74</v>
      </c>
      <c r="BH521" t="s">
        <v>74</v>
      </c>
      <c r="BI521">
        <v>26</v>
      </c>
      <c r="BJ521" t="s">
        <v>1237</v>
      </c>
      <c r="BK521" t="s">
        <v>569</v>
      </c>
      <c r="BL521" t="s">
        <v>1237</v>
      </c>
      <c r="BM521" t="s">
        <v>7318</v>
      </c>
      <c r="BN521" t="s">
        <v>74</v>
      </c>
      <c r="BO521" t="s">
        <v>74</v>
      </c>
      <c r="BP521" t="s">
        <v>74</v>
      </c>
      <c r="BQ521" t="s">
        <v>74</v>
      </c>
      <c r="BR521" t="s">
        <v>98</v>
      </c>
      <c r="BS521" t="s">
        <v>7319</v>
      </c>
      <c r="BT521" t="str">
        <f>HYPERLINK("https%3A%2F%2Fwww.webofscience.com%2Fwos%2Fwoscc%2Ffull-record%2FWOS:000179673000004","View Full Record in Web of Science")</f>
        <v>View Full Record in Web of Science</v>
      </c>
    </row>
    <row r="522" spans="1:72" x14ac:dyDescent="0.15">
      <c r="A522" t="s">
        <v>552</v>
      </c>
      <c r="B522" t="s">
        <v>7320</v>
      </c>
      <c r="C522" t="s">
        <v>74</v>
      </c>
      <c r="D522" t="s">
        <v>74</v>
      </c>
      <c r="E522" t="s">
        <v>74</v>
      </c>
      <c r="F522" t="s">
        <v>7320</v>
      </c>
      <c r="G522" t="s">
        <v>74</v>
      </c>
      <c r="H522" t="s">
        <v>74</v>
      </c>
      <c r="I522" t="s">
        <v>7321</v>
      </c>
      <c r="J522" t="s">
        <v>7322</v>
      </c>
      <c r="K522" t="s">
        <v>74</v>
      </c>
      <c r="L522" t="s">
        <v>74</v>
      </c>
      <c r="M522" t="s">
        <v>78</v>
      </c>
      <c r="N522" t="s">
        <v>775</v>
      </c>
      <c r="O522" t="s">
        <v>74</v>
      </c>
      <c r="P522" t="s">
        <v>74</v>
      </c>
      <c r="Q522" t="s">
        <v>74</v>
      </c>
      <c r="R522" t="s">
        <v>74</v>
      </c>
      <c r="S522" t="s">
        <v>74</v>
      </c>
      <c r="T522" t="s">
        <v>7323</v>
      </c>
      <c r="U522" t="s">
        <v>7324</v>
      </c>
      <c r="V522" t="s">
        <v>7325</v>
      </c>
      <c r="W522" t="s">
        <v>7326</v>
      </c>
      <c r="X522" t="s">
        <v>7327</v>
      </c>
      <c r="Y522" t="s">
        <v>74</v>
      </c>
      <c r="Z522" t="s">
        <v>74</v>
      </c>
      <c r="AA522" t="s">
        <v>74</v>
      </c>
      <c r="AB522" t="s">
        <v>74</v>
      </c>
      <c r="AC522" t="s">
        <v>74</v>
      </c>
      <c r="AD522" t="s">
        <v>74</v>
      </c>
      <c r="AE522" t="s">
        <v>74</v>
      </c>
      <c r="AF522" t="s">
        <v>74</v>
      </c>
      <c r="AG522">
        <v>11</v>
      </c>
      <c r="AH522">
        <v>5</v>
      </c>
      <c r="AI522">
        <v>8</v>
      </c>
      <c r="AJ522">
        <v>0</v>
      </c>
      <c r="AK522">
        <v>0</v>
      </c>
      <c r="AL522" t="s">
        <v>7328</v>
      </c>
      <c r="AM522" t="s">
        <v>4722</v>
      </c>
      <c r="AN522" t="s">
        <v>7329</v>
      </c>
      <c r="AO522" t="s">
        <v>7330</v>
      </c>
      <c r="AP522" t="s">
        <v>74</v>
      </c>
      <c r="AQ522" t="s">
        <v>74</v>
      </c>
      <c r="AR522" t="s">
        <v>7331</v>
      </c>
      <c r="AS522" t="s">
        <v>7332</v>
      </c>
      <c r="AT522" t="s">
        <v>7090</v>
      </c>
      <c r="AU522">
        <v>2002</v>
      </c>
      <c r="AV522">
        <v>18</v>
      </c>
      <c r="AW522">
        <v>4</v>
      </c>
      <c r="AX522" t="s">
        <v>74</v>
      </c>
      <c r="AY522" t="s">
        <v>74</v>
      </c>
      <c r="AZ522" t="s">
        <v>74</v>
      </c>
      <c r="BA522" t="s">
        <v>74</v>
      </c>
      <c r="BB522">
        <v>400</v>
      </c>
      <c r="BC522">
        <v>404</v>
      </c>
      <c r="BD522" t="s">
        <v>7333</v>
      </c>
      <c r="BE522" t="s">
        <v>74</v>
      </c>
      <c r="BF522" t="s">
        <v>74</v>
      </c>
      <c r="BG522" t="s">
        <v>74</v>
      </c>
      <c r="BH522" t="s">
        <v>74</v>
      </c>
      <c r="BI522">
        <v>5</v>
      </c>
      <c r="BJ522" t="s">
        <v>862</v>
      </c>
      <c r="BK522" t="s">
        <v>569</v>
      </c>
      <c r="BL522" t="s">
        <v>863</v>
      </c>
      <c r="BM522" t="s">
        <v>7334</v>
      </c>
      <c r="BN522" t="s">
        <v>74</v>
      </c>
      <c r="BO522" t="s">
        <v>74</v>
      </c>
      <c r="BP522" t="s">
        <v>74</v>
      </c>
      <c r="BQ522" t="s">
        <v>74</v>
      </c>
      <c r="BR522" t="s">
        <v>98</v>
      </c>
      <c r="BS522" t="s">
        <v>7335</v>
      </c>
      <c r="BT522" t="str">
        <f>HYPERLINK("https%3A%2F%2Fwww.webofscience.com%2Fwos%2Fwoscc%2Ffull-record%2FWOS:000179776200007","View Full Record in Web of Science")</f>
        <v>View Full Record in Web of Science</v>
      </c>
    </row>
    <row r="523" spans="1:72" x14ac:dyDescent="0.15">
      <c r="A523" t="s">
        <v>552</v>
      </c>
      <c r="B523" t="s">
        <v>7336</v>
      </c>
      <c r="C523" t="s">
        <v>74</v>
      </c>
      <c r="D523" t="s">
        <v>74</v>
      </c>
      <c r="E523" t="s">
        <v>74</v>
      </c>
      <c r="F523" t="s">
        <v>7336</v>
      </c>
      <c r="G523" t="s">
        <v>74</v>
      </c>
      <c r="H523" t="s">
        <v>74</v>
      </c>
      <c r="I523" t="s">
        <v>7337</v>
      </c>
      <c r="J523" t="s">
        <v>7338</v>
      </c>
      <c r="K523" t="s">
        <v>74</v>
      </c>
      <c r="L523" t="s">
        <v>74</v>
      </c>
      <c r="M523" t="s">
        <v>78</v>
      </c>
      <c r="N523" t="s">
        <v>775</v>
      </c>
      <c r="O523" t="s">
        <v>74</v>
      </c>
      <c r="P523" t="s">
        <v>74</v>
      </c>
      <c r="Q523" t="s">
        <v>74</v>
      </c>
      <c r="R523" t="s">
        <v>74</v>
      </c>
      <c r="S523" t="s">
        <v>74</v>
      </c>
      <c r="T523" t="s">
        <v>7339</v>
      </c>
      <c r="U523" t="s">
        <v>7340</v>
      </c>
      <c r="V523" t="s">
        <v>7341</v>
      </c>
      <c r="W523" t="s">
        <v>7342</v>
      </c>
      <c r="X523" t="s">
        <v>7343</v>
      </c>
      <c r="Y523" t="s">
        <v>7344</v>
      </c>
      <c r="Z523" t="s">
        <v>7345</v>
      </c>
      <c r="AA523" t="s">
        <v>74</v>
      </c>
      <c r="AB523" t="s">
        <v>74</v>
      </c>
      <c r="AC523" t="s">
        <v>74</v>
      </c>
      <c r="AD523" t="s">
        <v>74</v>
      </c>
      <c r="AE523" t="s">
        <v>74</v>
      </c>
      <c r="AF523" t="s">
        <v>74</v>
      </c>
      <c r="AG523">
        <v>29</v>
      </c>
      <c r="AH523">
        <v>34</v>
      </c>
      <c r="AI523">
        <v>38</v>
      </c>
      <c r="AJ523">
        <v>1</v>
      </c>
      <c r="AK523">
        <v>15</v>
      </c>
      <c r="AL523" t="s">
        <v>1287</v>
      </c>
      <c r="AM523" t="s">
        <v>561</v>
      </c>
      <c r="AN523" t="s">
        <v>7312</v>
      </c>
      <c r="AO523" t="s">
        <v>7346</v>
      </c>
      <c r="AP523" t="s">
        <v>7347</v>
      </c>
      <c r="AQ523" t="s">
        <v>74</v>
      </c>
      <c r="AR523" t="s">
        <v>7348</v>
      </c>
      <c r="AS523" t="s">
        <v>7349</v>
      </c>
      <c r="AT523" t="s">
        <v>7090</v>
      </c>
      <c r="AU523">
        <v>2002</v>
      </c>
      <c r="AV523">
        <v>133</v>
      </c>
      <c r="AW523">
        <v>3</v>
      </c>
      <c r="AX523" t="s">
        <v>74</v>
      </c>
      <c r="AY523" t="s">
        <v>74</v>
      </c>
      <c r="AZ523" t="s">
        <v>74</v>
      </c>
      <c r="BA523" t="s">
        <v>74</v>
      </c>
      <c r="BB523">
        <v>299</v>
      </c>
      <c r="BC523">
        <v>305</v>
      </c>
      <c r="BD523" t="s">
        <v>7350</v>
      </c>
      <c r="BE523" t="s">
        <v>7351</v>
      </c>
      <c r="BF523" t="str">
        <f>HYPERLINK("http://dx.doi.org/10.1016/S1096-4959(02)00150-1","http://dx.doi.org/10.1016/S1096-4959(02)00150-1")</f>
        <v>http://dx.doi.org/10.1016/S1096-4959(02)00150-1</v>
      </c>
      <c r="BG523" t="s">
        <v>74</v>
      </c>
      <c r="BH523" t="s">
        <v>74</v>
      </c>
      <c r="BI523">
        <v>7</v>
      </c>
      <c r="BJ523" t="s">
        <v>7352</v>
      </c>
      <c r="BK523" t="s">
        <v>569</v>
      </c>
      <c r="BL523" t="s">
        <v>7352</v>
      </c>
      <c r="BM523" t="s">
        <v>7353</v>
      </c>
      <c r="BN523">
        <v>12431397</v>
      </c>
      <c r="BO523" t="s">
        <v>74</v>
      </c>
      <c r="BP523" t="s">
        <v>74</v>
      </c>
      <c r="BQ523" t="s">
        <v>74</v>
      </c>
      <c r="BR523" t="s">
        <v>98</v>
      </c>
      <c r="BS523" t="s">
        <v>7354</v>
      </c>
      <c r="BT523" t="str">
        <f>HYPERLINK("https%3A%2F%2Fwww.webofscience.com%2Fwos%2Fwoscc%2Ffull-record%2FWOS:000179692000003","View Full Record in Web of Science")</f>
        <v>View Full Record in Web of Science</v>
      </c>
    </row>
    <row r="524" spans="1:72" x14ac:dyDescent="0.15">
      <c r="A524" t="s">
        <v>552</v>
      </c>
      <c r="B524" t="s">
        <v>7355</v>
      </c>
      <c r="C524" t="s">
        <v>74</v>
      </c>
      <c r="D524" t="s">
        <v>74</v>
      </c>
      <c r="E524" t="s">
        <v>74</v>
      </c>
      <c r="F524" t="s">
        <v>7355</v>
      </c>
      <c r="G524" t="s">
        <v>74</v>
      </c>
      <c r="H524" t="s">
        <v>74</v>
      </c>
      <c r="I524" t="s">
        <v>7356</v>
      </c>
      <c r="J524" t="s">
        <v>7357</v>
      </c>
      <c r="K524" t="s">
        <v>74</v>
      </c>
      <c r="L524" t="s">
        <v>74</v>
      </c>
      <c r="M524" t="s">
        <v>7358</v>
      </c>
      <c r="N524" t="s">
        <v>775</v>
      </c>
      <c r="O524" t="s">
        <v>74</v>
      </c>
      <c r="P524" t="s">
        <v>74</v>
      </c>
      <c r="Q524" t="s">
        <v>74</v>
      </c>
      <c r="R524" t="s">
        <v>74</v>
      </c>
      <c r="S524" t="s">
        <v>74</v>
      </c>
      <c r="T524" t="s">
        <v>7359</v>
      </c>
      <c r="U524" t="s">
        <v>7360</v>
      </c>
      <c r="V524" t="s">
        <v>7361</v>
      </c>
      <c r="W524" t="s">
        <v>7362</v>
      </c>
      <c r="X524" t="s">
        <v>7363</v>
      </c>
      <c r="Y524" t="s">
        <v>7364</v>
      </c>
      <c r="Z524" t="s">
        <v>7365</v>
      </c>
      <c r="AA524" t="s">
        <v>7366</v>
      </c>
      <c r="AB524" t="s">
        <v>74</v>
      </c>
      <c r="AC524" t="s">
        <v>74</v>
      </c>
      <c r="AD524" t="s">
        <v>74</v>
      </c>
      <c r="AE524" t="s">
        <v>74</v>
      </c>
      <c r="AF524" t="s">
        <v>74</v>
      </c>
      <c r="AG524">
        <v>23</v>
      </c>
      <c r="AH524">
        <v>10</v>
      </c>
      <c r="AI524">
        <v>10</v>
      </c>
      <c r="AJ524">
        <v>0</v>
      </c>
      <c r="AK524">
        <v>10</v>
      </c>
      <c r="AL524" t="s">
        <v>7367</v>
      </c>
      <c r="AM524" t="s">
        <v>1905</v>
      </c>
      <c r="AN524" t="s">
        <v>7368</v>
      </c>
      <c r="AO524" t="s">
        <v>7369</v>
      </c>
      <c r="AP524" t="s">
        <v>74</v>
      </c>
      <c r="AQ524" t="s">
        <v>74</v>
      </c>
      <c r="AR524" t="s">
        <v>7370</v>
      </c>
      <c r="AS524" t="s">
        <v>7371</v>
      </c>
      <c r="AT524" t="s">
        <v>7090</v>
      </c>
      <c r="AU524">
        <v>2002</v>
      </c>
      <c r="AV524">
        <v>334</v>
      </c>
      <c r="AW524">
        <v>14</v>
      </c>
      <c r="AX524" t="s">
        <v>74</v>
      </c>
      <c r="AY524" t="s">
        <v>74</v>
      </c>
      <c r="AZ524" t="s">
        <v>74</v>
      </c>
      <c r="BA524" t="s">
        <v>74</v>
      </c>
      <c r="BB524">
        <v>1039</v>
      </c>
      <c r="BC524">
        <v>1046</v>
      </c>
      <c r="BD524" t="s">
        <v>74</v>
      </c>
      <c r="BE524" t="s">
        <v>7372</v>
      </c>
      <c r="BF524" t="str">
        <f>HYPERLINK("http://dx.doi.org/10.1016/S1631-0713(02)01826-6","http://dx.doi.org/10.1016/S1631-0713(02)01826-6")</f>
        <v>http://dx.doi.org/10.1016/S1631-0713(02)01826-6</v>
      </c>
      <c r="BG524" t="s">
        <v>74</v>
      </c>
      <c r="BH524" t="s">
        <v>74</v>
      </c>
      <c r="BI524">
        <v>8</v>
      </c>
      <c r="BJ524" t="s">
        <v>1813</v>
      </c>
      <c r="BK524" t="s">
        <v>569</v>
      </c>
      <c r="BL524" t="s">
        <v>1814</v>
      </c>
      <c r="BM524" t="s">
        <v>7373</v>
      </c>
      <c r="BN524" t="s">
        <v>74</v>
      </c>
      <c r="BO524" t="s">
        <v>590</v>
      </c>
      <c r="BP524" t="s">
        <v>74</v>
      </c>
      <c r="BQ524" t="s">
        <v>74</v>
      </c>
      <c r="BR524" t="s">
        <v>98</v>
      </c>
      <c r="BS524" t="s">
        <v>7374</v>
      </c>
      <c r="BT524" t="str">
        <f>HYPERLINK("https%3A%2F%2Fwww.webofscience.com%2Fwos%2Fwoscc%2Ffull-record%2FWOS:000180493200004","View Full Record in Web of Science")</f>
        <v>View Full Record in Web of Science</v>
      </c>
    </row>
    <row r="525" spans="1:72" x14ac:dyDescent="0.15">
      <c r="A525" t="s">
        <v>552</v>
      </c>
      <c r="B525" t="s">
        <v>7375</v>
      </c>
      <c r="C525" t="s">
        <v>74</v>
      </c>
      <c r="D525" t="s">
        <v>74</v>
      </c>
      <c r="E525" t="s">
        <v>74</v>
      </c>
      <c r="F525" t="s">
        <v>7375</v>
      </c>
      <c r="G525" t="s">
        <v>74</v>
      </c>
      <c r="H525" t="s">
        <v>74</v>
      </c>
      <c r="I525" t="s">
        <v>7376</v>
      </c>
      <c r="J525" t="s">
        <v>7377</v>
      </c>
      <c r="K525" t="s">
        <v>74</v>
      </c>
      <c r="L525" t="s">
        <v>74</v>
      </c>
      <c r="M525" t="s">
        <v>78</v>
      </c>
      <c r="N525" t="s">
        <v>775</v>
      </c>
      <c r="O525" t="s">
        <v>74</v>
      </c>
      <c r="P525" t="s">
        <v>74</v>
      </c>
      <c r="Q525" t="s">
        <v>74</v>
      </c>
      <c r="R525" t="s">
        <v>74</v>
      </c>
      <c r="S525" t="s">
        <v>74</v>
      </c>
      <c r="T525" t="s">
        <v>7378</v>
      </c>
      <c r="U525" t="s">
        <v>7379</v>
      </c>
      <c r="V525" t="s">
        <v>7380</v>
      </c>
      <c r="W525" t="s">
        <v>7381</v>
      </c>
      <c r="X525" t="s">
        <v>4163</v>
      </c>
      <c r="Y525" t="s">
        <v>7382</v>
      </c>
      <c r="Z525" t="s">
        <v>7383</v>
      </c>
      <c r="AA525" t="s">
        <v>7384</v>
      </c>
      <c r="AB525" t="s">
        <v>74</v>
      </c>
      <c r="AC525" t="s">
        <v>74</v>
      </c>
      <c r="AD525" t="s">
        <v>74</v>
      </c>
      <c r="AE525" t="s">
        <v>74</v>
      </c>
      <c r="AF525" t="s">
        <v>74</v>
      </c>
      <c r="AG525">
        <v>31</v>
      </c>
      <c r="AH525">
        <v>19</v>
      </c>
      <c r="AI525">
        <v>24</v>
      </c>
      <c r="AJ525">
        <v>0</v>
      </c>
      <c r="AK525">
        <v>5</v>
      </c>
      <c r="AL525" t="s">
        <v>7385</v>
      </c>
      <c r="AM525" t="s">
        <v>7386</v>
      </c>
      <c r="AN525" t="s">
        <v>7387</v>
      </c>
      <c r="AO525" t="s">
        <v>7388</v>
      </c>
      <c r="AP525" t="s">
        <v>7389</v>
      </c>
      <c r="AQ525" t="s">
        <v>74</v>
      </c>
      <c r="AR525" t="s">
        <v>7377</v>
      </c>
      <c r="AS525" t="s">
        <v>7390</v>
      </c>
      <c r="AT525" t="s">
        <v>7090</v>
      </c>
      <c r="AU525">
        <v>2002</v>
      </c>
      <c r="AV525">
        <v>104</v>
      </c>
      <c r="AW525">
        <v>4</v>
      </c>
      <c r="AX525" t="s">
        <v>74</v>
      </c>
      <c r="AY525" t="s">
        <v>74</v>
      </c>
      <c r="AZ525" t="s">
        <v>74</v>
      </c>
      <c r="BA525" t="s">
        <v>74</v>
      </c>
      <c r="BB525">
        <v>823</v>
      </c>
      <c r="BC525">
        <v>831</v>
      </c>
      <c r="BD525" t="s">
        <v>74</v>
      </c>
      <c r="BE525" t="s">
        <v>7391</v>
      </c>
      <c r="BF525" t="str">
        <f>HYPERLINK("http://dx.doi.org/10.1650/0010-5422(2002)104[0823:PPPOWT]2.0.CO;2","http://dx.doi.org/10.1650/0010-5422(2002)104[0823:PPPOWT]2.0.CO;2")</f>
        <v>http://dx.doi.org/10.1650/0010-5422(2002)104[0823:PPPOWT]2.0.CO;2</v>
      </c>
      <c r="BG525" t="s">
        <v>74</v>
      </c>
      <c r="BH525" t="s">
        <v>74</v>
      </c>
      <c r="BI525">
        <v>9</v>
      </c>
      <c r="BJ525" t="s">
        <v>926</v>
      </c>
      <c r="BK525" t="s">
        <v>569</v>
      </c>
      <c r="BL525" t="s">
        <v>927</v>
      </c>
      <c r="BM525" t="s">
        <v>7392</v>
      </c>
      <c r="BN525" t="s">
        <v>74</v>
      </c>
      <c r="BO525" t="s">
        <v>74</v>
      </c>
      <c r="BP525" t="s">
        <v>74</v>
      </c>
      <c r="BQ525" t="s">
        <v>74</v>
      </c>
      <c r="BR525" t="s">
        <v>98</v>
      </c>
      <c r="BS525" t="s">
        <v>7393</v>
      </c>
      <c r="BT525" t="str">
        <f>HYPERLINK("https%3A%2F%2Fwww.webofscience.com%2Fwos%2Fwoscc%2Ffull-record%2FWOS:000179190400012","View Full Record in Web of Science")</f>
        <v>View Full Record in Web of Science</v>
      </c>
    </row>
    <row r="526" spans="1:72" x14ac:dyDescent="0.15">
      <c r="A526" t="s">
        <v>552</v>
      </c>
      <c r="B526" t="s">
        <v>7394</v>
      </c>
      <c r="C526" t="s">
        <v>74</v>
      </c>
      <c r="D526" t="s">
        <v>74</v>
      </c>
      <c r="E526" t="s">
        <v>74</v>
      </c>
      <c r="F526" t="s">
        <v>7394</v>
      </c>
      <c r="G526" t="s">
        <v>74</v>
      </c>
      <c r="H526" t="s">
        <v>74</v>
      </c>
      <c r="I526" t="s">
        <v>7395</v>
      </c>
      <c r="J526" t="s">
        <v>1381</v>
      </c>
      <c r="K526" t="s">
        <v>74</v>
      </c>
      <c r="L526" t="s">
        <v>74</v>
      </c>
      <c r="M526" t="s">
        <v>78</v>
      </c>
      <c r="N526" t="s">
        <v>775</v>
      </c>
      <c r="O526" t="s">
        <v>74</v>
      </c>
      <c r="P526" t="s">
        <v>74</v>
      </c>
      <c r="Q526" t="s">
        <v>74</v>
      </c>
      <c r="R526" t="s">
        <v>74</v>
      </c>
      <c r="S526" t="s">
        <v>74</v>
      </c>
      <c r="T526" t="s">
        <v>7396</v>
      </c>
      <c r="U526" t="s">
        <v>7397</v>
      </c>
      <c r="V526" t="s">
        <v>7398</v>
      </c>
      <c r="W526" t="s">
        <v>7399</v>
      </c>
      <c r="X526" t="s">
        <v>7400</v>
      </c>
      <c r="Y526" t="s">
        <v>7401</v>
      </c>
      <c r="Z526" t="s">
        <v>74</v>
      </c>
      <c r="AA526" t="s">
        <v>74</v>
      </c>
      <c r="AB526" t="s">
        <v>74</v>
      </c>
      <c r="AC526" t="s">
        <v>74</v>
      </c>
      <c r="AD526" t="s">
        <v>74</v>
      </c>
      <c r="AE526" t="s">
        <v>74</v>
      </c>
      <c r="AF526" t="s">
        <v>74</v>
      </c>
      <c r="AG526">
        <v>55</v>
      </c>
      <c r="AH526">
        <v>87</v>
      </c>
      <c r="AI526">
        <v>99</v>
      </c>
      <c r="AJ526">
        <v>4</v>
      </c>
      <c r="AK526">
        <v>22</v>
      </c>
      <c r="AL526" t="s">
        <v>806</v>
      </c>
      <c r="AM526" t="s">
        <v>807</v>
      </c>
      <c r="AN526" t="s">
        <v>808</v>
      </c>
      <c r="AO526" t="s">
        <v>1389</v>
      </c>
      <c r="AP526" t="s">
        <v>74</v>
      </c>
      <c r="AQ526" t="s">
        <v>74</v>
      </c>
      <c r="AR526" t="s">
        <v>1391</v>
      </c>
      <c r="AS526" t="s">
        <v>1392</v>
      </c>
      <c r="AT526" t="s">
        <v>7090</v>
      </c>
      <c r="AU526">
        <v>2002</v>
      </c>
      <c r="AV526">
        <v>49</v>
      </c>
      <c r="AW526">
        <v>11</v>
      </c>
      <c r="AX526" t="s">
        <v>74</v>
      </c>
      <c r="AY526" t="s">
        <v>74</v>
      </c>
      <c r="AZ526" t="s">
        <v>74</v>
      </c>
      <c r="BA526" t="s">
        <v>74</v>
      </c>
      <c r="BB526">
        <v>2075</v>
      </c>
      <c r="BC526">
        <v>2093</v>
      </c>
      <c r="BD526" t="s">
        <v>7402</v>
      </c>
      <c r="BE526" t="s">
        <v>7403</v>
      </c>
      <c r="BF526" t="str">
        <f>HYPERLINK("http://dx.doi.org/10.1016/S0967-0637(02)00099-7","http://dx.doi.org/10.1016/S0967-0637(02)00099-7")</f>
        <v>http://dx.doi.org/10.1016/S0967-0637(02)00099-7</v>
      </c>
      <c r="BG526" t="s">
        <v>74</v>
      </c>
      <c r="BH526" t="s">
        <v>74</v>
      </c>
      <c r="BI526">
        <v>19</v>
      </c>
      <c r="BJ526" t="s">
        <v>1394</v>
      </c>
      <c r="BK526" t="s">
        <v>569</v>
      </c>
      <c r="BL526" t="s">
        <v>1394</v>
      </c>
      <c r="BM526" t="s">
        <v>7404</v>
      </c>
      <c r="BN526" t="s">
        <v>74</v>
      </c>
      <c r="BO526" t="s">
        <v>74</v>
      </c>
      <c r="BP526" t="s">
        <v>74</v>
      </c>
      <c r="BQ526" t="s">
        <v>74</v>
      </c>
      <c r="BR526" t="s">
        <v>98</v>
      </c>
      <c r="BS526" t="s">
        <v>7405</v>
      </c>
      <c r="BT526" t="str">
        <f>HYPERLINK("https%3A%2F%2Fwww.webofscience.com%2Fwos%2Fwoscc%2Ffull-record%2FWOS:000180617600009","View Full Record in Web of Science")</f>
        <v>View Full Record in Web of Science</v>
      </c>
    </row>
    <row r="527" spans="1:72" x14ac:dyDescent="0.15">
      <c r="A527" t="s">
        <v>552</v>
      </c>
      <c r="B527" t="s">
        <v>6322</v>
      </c>
      <c r="C527" t="s">
        <v>74</v>
      </c>
      <c r="D527" t="s">
        <v>74</v>
      </c>
      <c r="E527" t="s">
        <v>74</v>
      </c>
      <c r="F527" t="s">
        <v>6322</v>
      </c>
      <c r="G527" t="s">
        <v>74</v>
      </c>
      <c r="H527" t="s">
        <v>74</v>
      </c>
      <c r="I527" t="s">
        <v>7406</v>
      </c>
      <c r="J527" t="s">
        <v>7407</v>
      </c>
      <c r="K527" t="s">
        <v>74</v>
      </c>
      <c r="L527" t="s">
        <v>74</v>
      </c>
      <c r="M527" t="s">
        <v>78</v>
      </c>
      <c r="N527" t="s">
        <v>775</v>
      </c>
      <c r="O527" t="s">
        <v>74</v>
      </c>
      <c r="P527" t="s">
        <v>74</v>
      </c>
      <c r="Q527" t="s">
        <v>74</v>
      </c>
      <c r="R527" t="s">
        <v>74</v>
      </c>
      <c r="S527" t="s">
        <v>74</v>
      </c>
      <c r="T527" t="s">
        <v>7408</v>
      </c>
      <c r="U527" t="s">
        <v>7409</v>
      </c>
      <c r="V527" t="s">
        <v>7410</v>
      </c>
      <c r="W527" t="s">
        <v>7411</v>
      </c>
      <c r="X527" t="s">
        <v>6328</v>
      </c>
      <c r="Y527" t="s">
        <v>7412</v>
      </c>
      <c r="Z527" t="s">
        <v>74</v>
      </c>
      <c r="AA527" t="s">
        <v>74</v>
      </c>
      <c r="AB527" t="s">
        <v>6331</v>
      </c>
      <c r="AC527" t="s">
        <v>74</v>
      </c>
      <c r="AD527" t="s">
        <v>74</v>
      </c>
      <c r="AE527" t="s">
        <v>74</v>
      </c>
      <c r="AF527" t="s">
        <v>74</v>
      </c>
      <c r="AG527">
        <v>28</v>
      </c>
      <c r="AH527">
        <v>31</v>
      </c>
      <c r="AI527">
        <v>34</v>
      </c>
      <c r="AJ527">
        <v>0</v>
      </c>
      <c r="AK527">
        <v>4</v>
      </c>
      <c r="AL527" t="s">
        <v>1860</v>
      </c>
      <c r="AM527" t="s">
        <v>1861</v>
      </c>
      <c r="AN527" t="s">
        <v>1862</v>
      </c>
      <c r="AO527" t="s">
        <v>7413</v>
      </c>
      <c r="AP527" t="s">
        <v>74</v>
      </c>
      <c r="AQ527" t="s">
        <v>74</v>
      </c>
      <c r="AR527" t="s">
        <v>7414</v>
      </c>
      <c r="AS527" t="s">
        <v>7415</v>
      </c>
      <c r="AT527" t="s">
        <v>7416</v>
      </c>
      <c r="AU527">
        <v>2002</v>
      </c>
      <c r="AV527">
        <v>36</v>
      </c>
      <c r="AW527" t="s">
        <v>5705</v>
      </c>
      <c r="AX527" t="s">
        <v>74</v>
      </c>
      <c r="AY527" t="s">
        <v>74</v>
      </c>
      <c r="AZ527" t="s">
        <v>74</v>
      </c>
      <c r="BA527" t="s">
        <v>74</v>
      </c>
      <c r="BB527">
        <v>233</v>
      </c>
      <c r="BC527">
        <v>246</v>
      </c>
      <c r="BD527" t="s">
        <v>7417</v>
      </c>
      <c r="BE527" t="s">
        <v>7418</v>
      </c>
      <c r="BF527" t="str">
        <f>HYPERLINK("http://dx.doi.org/10.1016/S0377-0265(02)00031-3","http://dx.doi.org/10.1016/S0377-0265(02)00031-3")</f>
        <v>http://dx.doi.org/10.1016/S0377-0265(02)00031-3</v>
      </c>
      <c r="BG527" t="s">
        <v>74</v>
      </c>
      <c r="BH527" t="s">
        <v>74</v>
      </c>
      <c r="BI527">
        <v>14</v>
      </c>
      <c r="BJ527" t="s">
        <v>7419</v>
      </c>
      <c r="BK527" t="s">
        <v>569</v>
      </c>
      <c r="BL527" t="s">
        <v>7419</v>
      </c>
      <c r="BM527" t="s">
        <v>7420</v>
      </c>
      <c r="BN527" t="s">
        <v>74</v>
      </c>
      <c r="BO527" t="s">
        <v>74</v>
      </c>
      <c r="BP527" t="s">
        <v>74</v>
      </c>
      <c r="BQ527" t="s">
        <v>74</v>
      </c>
      <c r="BR527" t="s">
        <v>98</v>
      </c>
      <c r="BS527" t="s">
        <v>7421</v>
      </c>
      <c r="BT527" t="str">
        <f>HYPERLINK("https%3A%2F%2Fwww.webofscience.com%2Fwos%2Fwoscc%2Ffull-record%2FWOS:000178643500012","View Full Record in Web of Science")</f>
        <v>View Full Record in Web of Science</v>
      </c>
    </row>
    <row r="528" spans="1:72" x14ac:dyDescent="0.15">
      <c r="A528" t="s">
        <v>552</v>
      </c>
      <c r="B528" t="s">
        <v>7422</v>
      </c>
      <c r="C528" t="s">
        <v>74</v>
      </c>
      <c r="D528" t="s">
        <v>74</v>
      </c>
      <c r="E528" t="s">
        <v>74</v>
      </c>
      <c r="F528" t="s">
        <v>7422</v>
      </c>
      <c r="G528" t="s">
        <v>74</v>
      </c>
      <c r="H528" t="s">
        <v>74</v>
      </c>
      <c r="I528" t="s">
        <v>7423</v>
      </c>
      <c r="J528" t="s">
        <v>7424</v>
      </c>
      <c r="K528" t="s">
        <v>74</v>
      </c>
      <c r="L528" t="s">
        <v>74</v>
      </c>
      <c r="M528" t="s">
        <v>78</v>
      </c>
      <c r="N528" t="s">
        <v>775</v>
      </c>
      <c r="O528" t="s">
        <v>74</v>
      </c>
      <c r="P528" t="s">
        <v>74</v>
      </c>
      <c r="Q528" t="s">
        <v>74</v>
      </c>
      <c r="R528" t="s">
        <v>74</v>
      </c>
      <c r="S528" t="s">
        <v>74</v>
      </c>
      <c r="T528" t="s">
        <v>7425</v>
      </c>
      <c r="U528" t="s">
        <v>7426</v>
      </c>
      <c r="V528" t="s">
        <v>7427</v>
      </c>
      <c r="W528" t="s">
        <v>7428</v>
      </c>
      <c r="X528" t="s">
        <v>7429</v>
      </c>
      <c r="Y528" t="s">
        <v>7430</v>
      </c>
      <c r="Z528" t="s">
        <v>74</v>
      </c>
      <c r="AA528" t="s">
        <v>7431</v>
      </c>
      <c r="AB528" t="s">
        <v>7432</v>
      </c>
      <c r="AC528" t="s">
        <v>74</v>
      </c>
      <c r="AD528" t="s">
        <v>74</v>
      </c>
      <c r="AE528" t="s">
        <v>74</v>
      </c>
      <c r="AF528" t="s">
        <v>74</v>
      </c>
      <c r="AG528">
        <v>68</v>
      </c>
      <c r="AH528">
        <v>89</v>
      </c>
      <c r="AI528">
        <v>112</v>
      </c>
      <c r="AJ528">
        <v>1</v>
      </c>
      <c r="AK528">
        <v>53</v>
      </c>
      <c r="AL528" t="s">
        <v>7433</v>
      </c>
      <c r="AM528" t="s">
        <v>388</v>
      </c>
      <c r="AN528" t="s">
        <v>7434</v>
      </c>
      <c r="AO528" t="s">
        <v>7435</v>
      </c>
      <c r="AP528" t="s">
        <v>74</v>
      </c>
      <c r="AQ528" t="s">
        <v>74</v>
      </c>
      <c r="AR528" t="s">
        <v>7424</v>
      </c>
      <c r="AS528" t="s">
        <v>5794</v>
      </c>
      <c r="AT528" t="s">
        <v>7090</v>
      </c>
      <c r="AU528">
        <v>2002</v>
      </c>
      <c r="AV528">
        <v>83</v>
      </c>
      <c r="AW528">
        <v>11</v>
      </c>
      <c r="AX528" t="s">
        <v>74</v>
      </c>
      <c r="AY528" t="s">
        <v>74</v>
      </c>
      <c r="AZ528" t="s">
        <v>74</v>
      </c>
      <c r="BA528" t="s">
        <v>74</v>
      </c>
      <c r="BB528">
        <v>3130</v>
      </c>
      <c r="BC528">
        <v>3140</v>
      </c>
      <c r="BD528" t="s">
        <v>74</v>
      </c>
      <c r="BE528" t="s">
        <v>74</v>
      </c>
      <c r="BF528" t="s">
        <v>74</v>
      </c>
      <c r="BG528" t="s">
        <v>74</v>
      </c>
      <c r="BH528" t="s">
        <v>74</v>
      </c>
      <c r="BI528">
        <v>11</v>
      </c>
      <c r="BJ528" t="s">
        <v>5794</v>
      </c>
      <c r="BK528" t="s">
        <v>569</v>
      </c>
      <c r="BL528" t="s">
        <v>1195</v>
      </c>
      <c r="BM528" t="s">
        <v>7436</v>
      </c>
      <c r="BN528" t="s">
        <v>74</v>
      </c>
      <c r="BO528" t="s">
        <v>74</v>
      </c>
      <c r="BP528" t="s">
        <v>74</v>
      </c>
      <c r="BQ528" t="s">
        <v>74</v>
      </c>
      <c r="BR528" t="s">
        <v>98</v>
      </c>
      <c r="BS528" t="s">
        <v>7437</v>
      </c>
      <c r="BT528" t="str">
        <f>HYPERLINK("https%3A%2F%2Fwww.webofscience.com%2Fwos%2Fwoscc%2Ffull-record%2FWOS:000179624600020","View Full Record in Web of Science")</f>
        <v>View Full Record in Web of Science</v>
      </c>
    </row>
    <row r="529" spans="1:72" x14ac:dyDescent="0.15">
      <c r="A529" t="s">
        <v>552</v>
      </c>
      <c r="B529" t="s">
        <v>7438</v>
      </c>
      <c r="C529" t="s">
        <v>74</v>
      </c>
      <c r="D529" t="s">
        <v>74</v>
      </c>
      <c r="E529" t="s">
        <v>74</v>
      </c>
      <c r="F529" t="s">
        <v>7438</v>
      </c>
      <c r="G529" t="s">
        <v>74</v>
      </c>
      <c r="H529" t="s">
        <v>74</v>
      </c>
      <c r="I529" t="s">
        <v>7439</v>
      </c>
      <c r="J529" t="s">
        <v>2007</v>
      </c>
      <c r="K529" t="s">
        <v>74</v>
      </c>
      <c r="L529" t="s">
        <v>74</v>
      </c>
      <c r="M529" t="s">
        <v>78</v>
      </c>
      <c r="N529" t="s">
        <v>775</v>
      </c>
      <c r="O529" t="s">
        <v>74</v>
      </c>
      <c r="P529" t="s">
        <v>74</v>
      </c>
      <c r="Q529" t="s">
        <v>74</v>
      </c>
      <c r="R529" t="s">
        <v>74</v>
      </c>
      <c r="S529" t="s">
        <v>74</v>
      </c>
      <c r="T529" t="s">
        <v>74</v>
      </c>
      <c r="U529" t="s">
        <v>7440</v>
      </c>
      <c r="V529" t="s">
        <v>7441</v>
      </c>
      <c r="W529" t="s">
        <v>7442</v>
      </c>
      <c r="X529" t="s">
        <v>7443</v>
      </c>
      <c r="Y529" t="s">
        <v>7444</v>
      </c>
      <c r="Z529" t="s">
        <v>7445</v>
      </c>
      <c r="AA529" t="s">
        <v>7446</v>
      </c>
      <c r="AB529" t="s">
        <v>7447</v>
      </c>
      <c r="AC529" t="s">
        <v>74</v>
      </c>
      <c r="AD529" t="s">
        <v>74</v>
      </c>
      <c r="AE529" t="s">
        <v>74</v>
      </c>
      <c r="AF529" t="s">
        <v>74</v>
      </c>
      <c r="AG529">
        <v>46</v>
      </c>
      <c r="AH529">
        <v>74</v>
      </c>
      <c r="AI529">
        <v>83</v>
      </c>
      <c r="AJ529">
        <v>1</v>
      </c>
      <c r="AK529">
        <v>34</v>
      </c>
      <c r="AL529" t="s">
        <v>2014</v>
      </c>
      <c r="AM529" t="s">
        <v>388</v>
      </c>
      <c r="AN529" t="s">
        <v>2015</v>
      </c>
      <c r="AO529" t="s">
        <v>2016</v>
      </c>
      <c r="AP529" t="s">
        <v>7448</v>
      </c>
      <c r="AQ529" t="s">
        <v>74</v>
      </c>
      <c r="AR529" t="s">
        <v>2017</v>
      </c>
      <c r="AS529" t="s">
        <v>2018</v>
      </c>
      <c r="AT529" t="s">
        <v>7416</v>
      </c>
      <c r="AU529">
        <v>2002</v>
      </c>
      <c r="AV529">
        <v>36</v>
      </c>
      <c r="AW529">
        <v>21</v>
      </c>
      <c r="AX529" t="s">
        <v>74</v>
      </c>
      <c r="AY529" t="s">
        <v>74</v>
      </c>
      <c r="AZ529" t="s">
        <v>74</v>
      </c>
      <c r="BA529" t="s">
        <v>74</v>
      </c>
      <c r="BB529">
        <v>4600</v>
      </c>
      <c r="BC529">
        <v>4607</v>
      </c>
      <c r="BD529" t="s">
        <v>74</v>
      </c>
      <c r="BE529" t="s">
        <v>7449</v>
      </c>
      <c r="BF529" t="str">
        <f>HYPERLINK("http://dx.doi.org/10.1021/es020045v","http://dx.doi.org/10.1021/es020045v")</f>
        <v>http://dx.doi.org/10.1021/es020045v</v>
      </c>
      <c r="BG529" t="s">
        <v>74</v>
      </c>
      <c r="BH529" t="s">
        <v>74</v>
      </c>
      <c r="BI529">
        <v>8</v>
      </c>
      <c r="BJ529" t="s">
        <v>2021</v>
      </c>
      <c r="BK529" t="s">
        <v>569</v>
      </c>
      <c r="BL529" t="s">
        <v>2022</v>
      </c>
      <c r="BM529" t="s">
        <v>7450</v>
      </c>
      <c r="BN529">
        <v>12433170</v>
      </c>
      <c r="BO529" t="s">
        <v>74</v>
      </c>
      <c r="BP529" t="s">
        <v>74</v>
      </c>
      <c r="BQ529" t="s">
        <v>74</v>
      </c>
      <c r="BR529" t="s">
        <v>98</v>
      </c>
      <c r="BS529" t="s">
        <v>7451</v>
      </c>
      <c r="BT529" t="str">
        <f>HYPERLINK("https%3A%2F%2Fwww.webofscience.com%2Fwos%2Fwoscc%2Ffull-record%2FWOS:000179002700034","View Full Record in Web of Science")</f>
        <v>View Full Record in Web of Science</v>
      </c>
    </row>
    <row r="530" spans="1:72" x14ac:dyDescent="0.15">
      <c r="A530" t="s">
        <v>552</v>
      </c>
      <c r="B530" t="s">
        <v>7452</v>
      </c>
      <c r="C530" t="s">
        <v>74</v>
      </c>
      <c r="D530" t="s">
        <v>74</v>
      </c>
      <c r="E530" t="s">
        <v>74</v>
      </c>
      <c r="F530" t="s">
        <v>7452</v>
      </c>
      <c r="G530" t="s">
        <v>74</v>
      </c>
      <c r="H530" t="s">
        <v>74</v>
      </c>
      <c r="I530" t="s">
        <v>7453</v>
      </c>
      <c r="J530" t="s">
        <v>7454</v>
      </c>
      <c r="K530" t="s">
        <v>74</v>
      </c>
      <c r="L530" t="s">
        <v>74</v>
      </c>
      <c r="M530" t="s">
        <v>78</v>
      </c>
      <c r="N530" t="s">
        <v>775</v>
      </c>
      <c r="O530" t="s">
        <v>74</v>
      </c>
      <c r="P530" t="s">
        <v>74</v>
      </c>
      <c r="Q530" t="s">
        <v>74</v>
      </c>
      <c r="R530" t="s">
        <v>74</v>
      </c>
      <c r="S530" t="s">
        <v>74</v>
      </c>
      <c r="T530" t="s">
        <v>7455</v>
      </c>
      <c r="U530" t="s">
        <v>7456</v>
      </c>
      <c r="V530" t="s">
        <v>7457</v>
      </c>
      <c r="W530" t="s">
        <v>7458</v>
      </c>
      <c r="X530" t="s">
        <v>7459</v>
      </c>
      <c r="Y530" t="s">
        <v>7460</v>
      </c>
      <c r="Z530" t="s">
        <v>74</v>
      </c>
      <c r="AA530" t="s">
        <v>7461</v>
      </c>
      <c r="AB530" t="s">
        <v>7462</v>
      </c>
      <c r="AC530" t="s">
        <v>74</v>
      </c>
      <c r="AD530" t="s">
        <v>74</v>
      </c>
      <c r="AE530" t="s">
        <v>74</v>
      </c>
      <c r="AF530" t="s">
        <v>74</v>
      </c>
      <c r="AG530">
        <v>43</v>
      </c>
      <c r="AH530">
        <v>38</v>
      </c>
      <c r="AI530">
        <v>43</v>
      </c>
      <c r="AJ530">
        <v>1</v>
      </c>
      <c r="AK530">
        <v>33</v>
      </c>
      <c r="AL530" t="s">
        <v>2112</v>
      </c>
      <c r="AM530" t="s">
        <v>2113</v>
      </c>
      <c r="AN530" t="s">
        <v>2114</v>
      </c>
      <c r="AO530" t="s">
        <v>7463</v>
      </c>
      <c r="AP530" t="s">
        <v>74</v>
      </c>
      <c r="AQ530" t="s">
        <v>74</v>
      </c>
      <c r="AR530" t="s">
        <v>7464</v>
      </c>
      <c r="AS530" t="s">
        <v>7465</v>
      </c>
      <c r="AT530" t="s">
        <v>7090</v>
      </c>
      <c r="AU530">
        <v>2002</v>
      </c>
      <c r="AV530">
        <v>55</v>
      </c>
      <c r="AW530">
        <v>5</v>
      </c>
      <c r="AX530" t="s">
        <v>74</v>
      </c>
      <c r="AY530" t="s">
        <v>74</v>
      </c>
      <c r="AZ530" t="s">
        <v>74</v>
      </c>
      <c r="BA530" t="s">
        <v>74</v>
      </c>
      <c r="BB530">
        <v>751</v>
      </c>
      <c r="BC530">
        <v>762</v>
      </c>
      <c r="BD530" t="s">
        <v>74</v>
      </c>
      <c r="BE530" t="s">
        <v>7466</v>
      </c>
      <c r="BF530" t="str">
        <f>HYPERLINK("http://dx.doi.org/10.1006/ecss.2001.0937","http://dx.doi.org/10.1006/ecss.2001.0937")</f>
        <v>http://dx.doi.org/10.1006/ecss.2001.0937</v>
      </c>
      <c r="BG530" t="s">
        <v>74</v>
      </c>
      <c r="BH530" t="s">
        <v>74</v>
      </c>
      <c r="BI530">
        <v>12</v>
      </c>
      <c r="BJ530" t="s">
        <v>3127</v>
      </c>
      <c r="BK530" t="s">
        <v>569</v>
      </c>
      <c r="BL530" t="s">
        <v>3127</v>
      </c>
      <c r="BM530" t="s">
        <v>7467</v>
      </c>
      <c r="BN530" t="s">
        <v>74</v>
      </c>
      <c r="BO530" t="s">
        <v>74</v>
      </c>
      <c r="BP530" t="s">
        <v>74</v>
      </c>
      <c r="BQ530" t="s">
        <v>74</v>
      </c>
      <c r="BR530" t="s">
        <v>98</v>
      </c>
      <c r="BS530" t="s">
        <v>7468</v>
      </c>
      <c r="BT530" t="str">
        <f>HYPERLINK("https%3A%2F%2Fwww.webofscience.com%2Fwos%2Fwoscc%2Ffull-record%2FWOS:000179546900007","View Full Record in Web of Science")</f>
        <v>View Full Record in Web of Science</v>
      </c>
    </row>
    <row r="531" spans="1:72" x14ac:dyDescent="0.15">
      <c r="A531" t="s">
        <v>552</v>
      </c>
      <c r="B531" t="s">
        <v>7469</v>
      </c>
      <c r="C531" t="s">
        <v>74</v>
      </c>
      <c r="D531" t="s">
        <v>74</v>
      </c>
      <c r="E531" t="s">
        <v>74</v>
      </c>
      <c r="F531" t="s">
        <v>7469</v>
      </c>
      <c r="G531" t="s">
        <v>74</v>
      </c>
      <c r="H531" t="s">
        <v>74</v>
      </c>
      <c r="I531" t="s">
        <v>7470</v>
      </c>
      <c r="J531" t="s">
        <v>6101</v>
      </c>
      <c r="K531" t="s">
        <v>74</v>
      </c>
      <c r="L531" t="s">
        <v>74</v>
      </c>
      <c r="M531" t="s">
        <v>78</v>
      </c>
      <c r="N531" t="s">
        <v>775</v>
      </c>
      <c r="O531" t="s">
        <v>74</v>
      </c>
      <c r="P531" t="s">
        <v>74</v>
      </c>
      <c r="Q531" t="s">
        <v>74</v>
      </c>
      <c r="R531" t="s">
        <v>74</v>
      </c>
      <c r="S531" t="s">
        <v>74</v>
      </c>
      <c r="T531" t="s">
        <v>7471</v>
      </c>
      <c r="U531" t="s">
        <v>7472</v>
      </c>
      <c r="V531" t="s">
        <v>7473</v>
      </c>
      <c r="W531" t="s">
        <v>7474</v>
      </c>
      <c r="X531" t="s">
        <v>7475</v>
      </c>
      <c r="Y531" t="s">
        <v>7476</v>
      </c>
      <c r="Z531" t="s">
        <v>74</v>
      </c>
      <c r="AA531" t="s">
        <v>7477</v>
      </c>
      <c r="AB531" t="s">
        <v>7478</v>
      </c>
      <c r="AC531" t="s">
        <v>74</v>
      </c>
      <c r="AD531" t="s">
        <v>74</v>
      </c>
      <c r="AE531" t="s">
        <v>74</v>
      </c>
      <c r="AF531" t="s">
        <v>74</v>
      </c>
      <c r="AG531">
        <v>70</v>
      </c>
      <c r="AH531">
        <v>50</v>
      </c>
      <c r="AI531">
        <v>54</v>
      </c>
      <c r="AJ531">
        <v>0</v>
      </c>
      <c r="AK531">
        <v>5</v>
      </c>
      <c r="AL531" t="s">
        <v>2581</v>
      </c>
      <c r="AM531" t="s">
        <v>807</v>
      </c>
      <c r="AN531" t="s">
        <v>2582</v>
      </c>
      <c r="AO531" t="s">
        <v>6110</v>
      </c>
      <c r="AP531" t="s">
        <v>74</v>
      </c>
      <c r="AQ531" t="s">
        <v>74</v>
      </c>
      <c r="AR531" t="s">
        <v>6111</v>
      </c>
      <c r="AS531" t="s">
        <v>6112</v>
      </c>
      <c r="AT531" t="s">
        <v>7090</v>
      </c>
      <c r="AU531">
        <v>2002</v>
      </c>
      <c r="AV531">
        <v>269</v>
      </c>
      <c r="AW531">
        <v>22</v>
      </c>
      <c r="AX531" t="s">
        <v>74</v>
      </c>
      <c r="AY531" t="s">
        <v>74</v>
      </c>
      <c r="AZ531" t="s">
        <v>74</v>
      </c>
      <c r="BA531" t="s">
        <v>74</v>
      </c>
      <c r="BB531">
        <v>5536</v>
      </c>
      <c r="BC531">
        <v>5546</v>
      </c>
      <c r="BD531" t="s">
        <v>74</v>
      </c>
      <c r="BE531" t="s">
        <v>7479</v>
      </c>
      <c r="BF531" t="str">
        <f>HYPERLINK("http://dx.doi.org/10.1046/j.1432-1033.2002.03259.x","http://dx.doi.org/10.1046/j.1432-1033.2002.03259.x")</f>
        <v>http://dx.doi.org/10.1046/j.1432-1033.2002.03259.x</v>
      </c>
      <c r="BG531" t="s">
        <v>74</v>
      </c>
      <c r="BH531" t="s">
        <v>74</v>
      </c>
      <c r="BI531">
        <v>11</v>
      </c>
      <c r="BJ531" t="s">
        <v>2171</v>
      </c>
      <c r="BK531" t="s">
        <v>569</v>
      </c>
      <c r="BL531" t="s">
        <v>2171</v>
      </c>
      <c r="BM531" t="s">
        <v>7480</v>
      </c>
      <c r="BN531">
        <v>12423352</v>
      </c>
      <c r="BO531" t="s">
        <v>572</v>
      </c>
      <c r="BP531" t="s">
        <v>74</v>
      </c>
      <c r="BQ531" t="s">
        <v>74</v>
      </c>
      <c r="BR531" t="s">
        <v>98</v>
      </c>
      <c r="BS531" t="s">
        <v>7481</v>
      </c>
      <c r="BT531" t="str">
        <f>HYPERLINK("https%3A%2F%2Fwww.webofscience.com%2Fwos%2Fwoscc%2Ffull-record%2FWOS:000179115100022","View Full Record in Web of Science")</f>
        <v>View Full Record in Web of Science</v>
      </c>
    </row>
    <row r="532" spans="1:72" x14ac:dyDescent="0.15">
      <c r="A532" t="s">
        <v>552</v>
      </c>
      <c r="B532" t="s">
        <v>7482</v>
      </c>
      <c r="C532" t="s">
        <v>74</v>
      </c>
      <c r="D532" t="s">
        <v>74</v>
      </c>
      <c r="E532" t="s">
        <v>74</v>
      </c>
      <c r="F532" t="s">
        <v>7482</v>
      </c>
      <c r="G532" t="s">
        <v>74</v>
      </c>
      <c r="H532" t="s">
        <v>74</v>
      </c>
      <c r="I532" t="s">
        <v>7483</v>
      </c>
      <c r="J532" t="s">
        <v>7484</v>
      </c>
      <c r="K532" t="s">
        <v>74</v>
      </c>
      <c r="L532" t="s">
        <v>74</v>
      </c>
      <c r="M532" t="s">
        <v>78</v>
      </c>
      <c r="N532" t="s">
        <v>775</v>
      </c>
      <c r="O532" t="s">
        <v>74</v>
      </c>
      <c r="P532" t="s">
        <v>74</v>
      </c>
      <c r="Q532" t="s">
        <v>74</v>
      </c>
      <c r="R532" t="s">
        <v>74</v>
      </c>
      <c r="S532" t="s">
        <v>74</v>
      </c>
      <c r="T532" t="s">
        <v>7485</v>
      </c>
      <c r="U532" t="s">
        <v>7486</v>
      </c>
      <c r="V532" t="s">
        <v>7487</v>
      </c>
      <c r="W532" t="s">
        <v>367</v>
      </c>
      <c r="X532" t="s">
        <v>368</v>
      </c>
      <c r="Y532" t="s">
        <v>7488</v>
      </c>
      <c r="Z532" t="s">
        <v>74</v>
      </c>
      <c r="AA532" t="s">
        <v>74</v>
      </c>
      <c r="AB532" t="s">
        <v>74</v>
      </c>
      <c r="AC532" t="s">
        <v>74</v>
      </c>
      <c r="AD532" t="s">
        <v>74</v>
      </c>
      <c r="AE532" t="s">
        <v>74</v>
      </c>
      <c r="AF532" t="s">
        <v>74</v>
      </c>
      <c r="AG532">
        <v>41</v>
      </c>
      <c r="AH532">
        <v>61</v>
      </c>
      <c r="AI532">
        <v>67</v>
      </c>
      <c r="AJ532">
        <v>3</v>
      </c>
      <c r="AK532">
        <v>33</v>
      </c>
      <c r="AL532" t="s">
        <v>2581</v>
      </c>
      <c r="AM532" t="s">
        <v>807</v>
      </c>
      <c r="AN532" t="s">
        <v>2582</v>
      </c>
      <c r="AO532" t="s">
        <v>7489</v>
      </c>
      <c r="AP532" t="s">
        <v>74</v>
      </c>
      <c r="AQ532" t="s">
        <v>74</v>
      </c>
      <c r="AR532" t="s">
        <v>7490</v>
      </c>
      <c r="AS532" t="s">
        <v>7491</v>
      </c>
      <c r="AT532" t="s">
        <v>7090</v>
      </c>
      <c r="AU532">
        <v>2002</v>
      </c>
      <c r="AV532">
        <v>47</v>
      </c>
      <c r="AW532">
        <v>11</v>
      </c>
      <c r="AX532" t="s">
        <v>74</v>
      </c>
      <c r="AY532" t="s">
        <v>74</v>
      </c>
      <c r="AZ532" t="s">
        <v>74</v>
      </c>
      <c r="BA532" t="s">
        <v>74</v>
      </c>
      <c r="BB532">
        <v>2060</v>
      </c>
      <c r="BC532">
        <v>2070</v>
      </c>
      <c r="BD532" t="s">
        <v>74</v>
      </c>
      <c r="BE532" t="s">
        <v>7492</v>
      </c>
      <c r="BF532" t="str">
        <f>HYPERLINK("http://dx.doi.org/10.1046/j.1365-2427.2002.00950.x","http://dx.doi.org/10.1046/j.1365-2427.2002.00950.x")</f>
        <v>http://dx.doi.org/10.1046/j.1365-2427.2002.00950.x</v>
      </c>
      <c r="BG532" t="s">
        <v>74</v>
      </c>
      <c r="BH532" t="s">
        <v>74</v>
      </c>
      <c r="BI532">
        <v>11</v>
      </c>
      <c r="BJ532" t="s">
        <v>7493</v>
      </c>
      <c r="BK532" t="s">
        <v>569</v>
      </c>
      <c r="BL532" t="s">
        <v>7494</v>
      </c>
      <c r="BM532" t="s">
        <v>7495</v>
      </c>
      <c r="BN532" t="s">
        <v>74</v>
      </c>
      <c r="BO532" t="s">
        <v>74</v>
      </c>
      <c r="BP532" t="s">
        <v>74</v>
      </c>
      <c r="BQ532" t="s">
        <v>74</v>
      </c>
      <c r="BR532" t="s">
        <v>98</v>
      </c>
      <c r="BS532" t="s">
        <v>7496</v>
      </c>
      <c r="BT532" t="str">
        <f>HYPERLINK("https%3A%2F%2Fwww.webofscience.com%2Fwos%2Fwoscc%2Ffull-record%2FWOS:000178848300003","View Full Record in Web of Science")</f>
        <v>View Full Record in Web of Science</v>
      </c>
    </row>
    <row r="533" spans="1:72" x14ac:dyDescent="0.15">
      <c r="A533" t="s">
        <v>552</v>
      </c>
      <c r="B533" t="s">
        <v>7497</v>
      </c>
      <c r="C533" t="s">
        <v>74</v>
      </c>
      <c r="D533" t="s">
        <v>74</v>
      </c>
      <c r="E533" t="s">
        <v>74</v>
      </c>
      <c r="F533" t="s">
        <v>7497</v>
      </c>
      <c r="G533" t="s">
        <v>74</v>
      </c>
      <c r="H533" t="s">
        <v>74</v>
      </c>
      <c r="I533" t="s">
        <v>7498</v>
      </c>
      <c r="J533" t="s">
        <v>7499</v>
      </c>
      <c r="K533" t="s">
        <v>74</v>
      </c>
      <c r="L533" t="s">
        <v>74</v>
      </c>
      <c r="M533" t="s">
        <v>78</v>
      </c>
      <c r="N533" t="s">
        <v>775</v>
      </c>
      <c r="O533" t="s">
        <v>74</v>
      </c>
      <c r="P533" t="s">
        <v>74</v>
      </c>
      <c r="Q533" t="s">
        <v>74</v>
      </c>
      <c r="R533" t="s">
        <v>74</v>
      </c>
      <c r="S533" t="s">
        <v>74</v>
      </c>
      <c r="T533" t="s">
        <v>74</v>
      </c>
      <c r="U533" t="s">
        <v>7500</v>
      </c>
      <c r="V533" t="s">
        <v>7501</v>
      </c>
      <c r="W533" t="s">
        <v>583</v>
      </c>
      <c r="X533" t="s">
        <v>584</v>
      </c>
      <c r="Y533" t="s">
        <v>7502</v>
      </c>
      <c r="Z533" t="s">
        <v>74</v>
      </c>
      <c r="AA533" t="s">
        <v>74</v>
      </c>
      <c r="AB533" t="s">
        <v>7503</v>
      </c>
      <c r="AC533" t="s">
        <v>74</v>
      </c>
      <c r="AD533" t="s">
        <v>74</v>
      </c>
      <c r="AE533" t="s">
        <v>74</v>
      </c>
      <c r="AF533" t="s">
        <v>74</v>
      </c>
      <c r="AG533">
        <v>54</v>
      </c>
      <c r="AH533">
        <v>9</v>
      </c>
      <c r="AI533">
        <v>12</v>
      </c>
      <c r="AJ533">
        <v>1</v>
      </c>
      <c r="AK533">
        <v>7</v>
      </c>
      <c r="AL533" t="s">
        <v>1259</v>
      </c>
      <c r="AM533" t="s">
        <v>561</v>
      </c>
      <c r="AN533" t="s">
        <v>1260</v>
      </c>
      <c r="AO533" t="s">
        <v>7504</v>
      </c>
      <c r="AP533" t="s">
        <v>74</v>
      </c>
      <c r="AQ533" t="s">
        <v>74</v>
      </c>
      <c r="AR533" t="s">
        <v>7505</v>
      </c>
      <c r="AS533" t="s">
        <v>7506</v>
      </c>
      <c r="AT533" t="s">
        <v>7090</v>
      </c>
      <c r="AU533">
        <v>2002</v>
      </c>
      <c r="AV533">
        <v>22</v>
      </c>
      <c r="AW533">
        <v>3</v>
      </c>
      <c r="AX533" t="s">
        <v>74</v>
      </c>
      <c r="AY533" t="s">
        <v>74</v>
      </c>
      <c r="AZ533" t="s">
        <v>74</v>
      </c>
      <c r="BA533" t="s">
        <v>74</v>
      </c>
      <c r="BB533">
        <v>170</v>
      </c>
      <c r="BC533">
        <v>180</v>
      </c>
      <c r="BD533" t="s">
        <v>74</v>
      </c>
      <c r="BE533" t="s">
        <v>7507</v>
      </c>
      <c r="BF533" t="str">
        <f>HYPERLINK("http://dx.doi.org/10.1007/s00367-002-0109-7","http://dx.doi.org/10.1007/s00367-002-0109-7")</f>
        <v>http://dx.doi.org/10.1007/s00367-002-0109-7</v>
      </c>
      <c r="BG533" t="s">
        <v>74</v>
      </c>
      <c r="BH533" t="s">
        <v>74</v>
      </c>
      <c r="BI533">
        <v>11</v>
      </c>
      <c r="BJ533" t="s">
        <v>5146</v>
      </c>
      <c r="BK533" t="s">
        <v>569</v>
      </c>
      <c r="BL533" t="s">
        <v>5147</v>
      </c>
      <c r="BM533" t="s">
        <v>7508</v>
      </c>
      <c r="BN533" t="s">
        <v>74</v>
      </c>
      <c r="BO533" t="s">
        <v>74</v>
      </c>
      <c r="BP533" t="s">
        <v>74</v>
      </c>
      <c r="BQ533" t="s">
        <v>74</v>
      </c>
      <c r="BR533" t="s">
        <v>98</v>
      </c>
      <c r="BS533" t="s">
        <v>7509</v>
      </c>
      <c r="BT533" t="str">
        <f>HYPERLINK("https%3A%2F%2Fwww.webofscience.com%2Fwos%2Fwoscc%2Ffull-record%2FWOS:000179924200007","View Full Record in Web of Science")</f>
        <v>View Full Record in Web of Science</v>
      </c>
    </row>
    <row r="534" spans="1:72" x14ac:dyDescent="0.15">
      <c r="A534" t="s">
        <v>552</v>
      </c>
      <c r="B534" t="s">
        <v>7510</v>
      </c>
      <c r="C534" t="s">
        <v>74</v>
      </c>
      <c r="D534" t="s">
        <v>74</v>
      </c>
      <c r="E534" t="s">
        <v>74</v>
      </c>
      <c r="F534" t="s">
        <v>7510</v>
      </c>
      <c r="G534" t="s">
        <v>74</v>
      </c>
      <c r="H534" t="s">
        <v>74</v>
      </c>
      <c r="I534" t="s">
        <v>7511</v>
      </c>
      <c r="J534" t="s">
        <v>7512</v>
      </c>
      <c r="K534" t="s">
        <v>74</v>
      </c>
      <c r="L534" t="s">
        <v>74</v>
      </c>
      <c r="M534" t="s">
        <v>78</v>
      </c>
      <c r="N534" t="s">
        <v>775</v>
      </c>
      <c r="O534" t="s">
        <v>74</v>
      </c>
      <c r="P534" t="s">
        <v>74</v>
      </c>
      <c r="Q534" t="s">
        <v>74</v>
      </c>
      <c r="R534" t="s">
        <v>74</v>
      </c>
      <c r="S534" t="s">
        <v>74</v>
      </c>
      <c r="T534" t="s">
        <v>7513</v>
      </c>
      <c r="U534" t="s">
        <v>7514</v>
      </c>
      <c r="V534" t="s">
        <v>7515</v>
      </c>
      <c r="W534" t="s">
        <v>7516</v>
      </c>
      <c r="X534" t="s">
        <v>7517</v>
      </c>
      <c r="Y534" t="s">
        <v>7518</v>
      </c>
      <c r="Z534" t="s">
        <v>74</v>
      </c>
      <c r="AA534" t="s">
        <v>7519</v>
      </c>
      <c r="AB534" t="s">
        <v>7520</v>
      </c>
      <c r="AC534" t="s">
        <v>74</v>
      </c>
      <c r="AD534" t="s">
        <v>74</v>
      </c>
      <c r="AE534" t="s">
        <v>74</v>
      </c>
      <c r="AF534" t="s">
        <v>74</v>
      </c>
      <c r="AG534">
        <v>28</v>
      </c>
      <c r="AH534">
        <v>30</v>
      </c>
      <c r="AI534">
        <v>35</v>
      </c>
      <c r="AJ534">
        <v>0</v>
      </c>
      <c r="AK534">
        <v>3</v>
      </c>
      <c r="AL534" t="s">
        <v>7521</v>
      </c>
      <c r="AM534" t="s">
        <v>7142</v>
      </c>
      <c r="AN534" t="s">
        <v>7522</v>
      </c>
      <c r="AO534" t="s">
        <v>7523</v>
      </c>
      <c r="AP534" t="s">
        <v>7524</v>
      </c>
      <c r="AQ534" t="s">
        <v>74</v>
      </c>
      <c r="AR534" t="s">
        <v>7512</v>
      </c>
      <c r="AS534" t="s">
        <v>1814</v>
      </c>
      <c r="AT534" t="s">
        <v>7090</v>
      </c>
      <c r="AU534">
        <v>2002</v>
      </c>
      <c r="AV534">
        <v>30</v>
      </c>
      <c r="AW534">
        <v>11</v>
      </c>
      <c r="AX534" t="s">
        <v>74</v>
      </c>
      <c r="AY534" t="s">
        <v>74</v>
      </c>
      <c r="AZ534" t="s">
        <v>74</v>
      </c>
      <c r="BA534" t="s">
        <v>74</v>
      </c>
      <c r="BB534">
        <v>1043</v>
      </c>
      <c r="BC534">
        <v>1046</v>
      </c>
      <c r="BD534" t="s">
        <v>74</v>
      </c>
      <c r="BE534" t="s">
        <v>7525</v>
      </c>
      <c r="BF534" t="str">
        <f>HYPERLINK("http://dx.doi.org/10.1130/0091-7613(2002)030&lt;1043:ICCOTO&gt;2.0.CO;2","http://dx.doi.org/10.1130/0091-7613(2002)030&lt;1043:ICCOTO&gt;2.0.CO;2")</f>
        <v>http://dx.doi.org/10.1130/0091-7613(2002)030&lt;1043:ICCOTO&gt;2.0.CO;2</v>
      </c>
      <c r="BG534" t="s">
        <v>74</v>
      </c>
      <c r="BH534" t="s">
        <v>74</v>
      </c>
      <c r="BI534">
        <v>4</v>
      </c>
      <c r="BJ534" t="s">
        <v>1814</v>
      </c>
      <c r="BK534" t="s">
        <v>569</v>
      </c>
      <c r="BL534" t="s">
        <v>1814</v>
      </c>
      <c r="BM534" t="s">
        <v>7526</v>
      </c>
      <c r="BN534" t="s">
        <v>74</v>
      </c>
      <c r="BO534" t="s">
        <v>74</v>
      </c>
      <c r="BP534" t="s">
        <v>74</v>
      </c>
      <c r="BQ534" t="s">
        <v>74</v>
      </c>
      <c r="BR534" t="s">
        <v>98</v>
      </c>
      <c r="BS534" t="s">
        <v>7527</v>
      </c>
      <c r="BT534" t="str">
        <f>HYPERLINK("https%3A%2F%2Fwww.webofscience.com%2Fwos%2Fwoscc%2Ffull-record%2FWOS:000178902000022","View Full Record in Web of Science")</f>
        <v>View Full Record in Web of Science</v>
      </c>
    </row>
    <row r="535" spans="1:72" x14ac:dyDescent="0.15">
      <c r="A535" t="s">
        <v>552</v>
      </c>
      <c r="B535" t="s">
        <v>7528</v>
      </c>
      <c r="C535" t="s">
        <v>74</v>
      </c>
      <c r="D535" t="s">
        <v>74</v>
      </c>
      <c r="E535" t="s">
        <v>74</v>
      </c>
      <c r="F535" t="s">
        <v>7528</v>
      </c>
      <c r="G535" t="s">
        <v>74</v>
      </c>
      <c r="H535" t="s">
        <v>74</v>
      </c>
      <c r="I535" t="s">
        <v>7529</v>
      </c>
      <c r="J535" t="s">
        <v>5162</v>
      </c>
      <c r="K535" t="s">
        <v>74</v>
      </c>
      <c r="L535" t="s">
        <v>74</v>
      </c>
      <c r="M535" t="s">
        <v>78</v>
      </c>
      <c r="N535" t="s">
        <v>775</v>
      </c>
      <c r="O535" t="s">
        <v>74</v>
      </c>
      <c r="P535" t="s">
        <v>74</v>
      </c>
      <c r="Q535" t="s">
        <v>74</v>
      </c>
      <c r="R535" t="s">
        <v>74</v>
      </c>
      <c r="S535" t="s">
        <v>74</v>
      </c>
      <c r="T535" t="s">
        <v>74</v>
      </c>
      <c r="U535" t="s">
        <v>7530</v>
      </c>
      <c r="V535" t="s">
        <v>7531</v>
      </c>
      <c r="W535" t="s">
        <v>7532</v>
      </c>
      <c r="X535" t="s">
        <v>7533</v>
      </c>
      <c r="Y535" t="s">
        <v>7534</v>
      </c>
      <c r="Z535" t="s">
        <v>7535</v>
      </c>
      <c r="AA535" t="s">
        <v>7536</v>
      </c>
      <c r="AB535" t="s">
        <v>7537</v>
      </c>
      <c r="AC535" t="s">
        <v>74</v>
      </c>
      <c r="AD535" t="s">
        <v>74</v>
      </c>
      <c r="AE535" t="s">
        <v>74</v>
      </c>
      <c r="AF535" t="s">
        <v>74</v>
      </c>
      <c r="AG535">
        <v>23</v>
      </c>
      <c r="AH535">
        <v>42</v>
      </c>
      <c r="AI535">
        <v>49</v>
      </c>
      <c r="AJ535">
        <v>0</v>
      </c>
      <c r="AK535">
        <v>16</v>
      </c>
      <c r="AL535" t="s">
        <v>387</v>
      </c>
      <c r="AM535" t="s">
        <v>388</v>
      </c>
      <c r="AN535" t="s">
        <v>389</v>
      </c>
      <c r="AO535" t="s">
        <v>5169</v>
      </c>
      <c r="AP535" t="s">
        <v>5170</v>
      </c>
      <c r="AQ535" t="s">
        <v>74</v>
      </c>
      <c r="AR535" t="s">
        <v>5171</v>
      </c>
      <c r="AS535" t="s">
        <v>5172</v>
      </c>
      <c r="AT535" t="s">
        <v>7416</v>
      </c>
      <c r="AU535">
        <v>2002</v>
      </c>
      <c r="AV535">
        <v>29</v>
      </c>
      <c r="AW535">
        <v>21</v>
      </c>
      <c r="AX535" t="s">
        <v>74</v>
      </c>
      <c r="AY535" t="s">
        <v>74</v>
      </c>
      <c r="AZ535" t="s">
        <v>74</v>
      </c>
      <c r="BA535" t="s">
        <v>74</v>
      </c>
      <c r="BB535" t="s">
        <v>74</v>
      </c>
      <c r="BC535" t="s">
        <v>74</v>
      </c>
      <c r="BD535">
        <v>2011</v>
      </c>
      <c r="BE535" t="s">
        <v>7538</v>
      </c>
      <c r="BF535" t="str">
        <f>HYPERLINK("http://dx.doi.org/10.1029/2002GL015703","http://dx.doi.org/10.1029/2002GL015703")</f>
        <v>http://dx.doi.org/10.1029/2002GL015703</v>
      </c>
      <c r="BG535" t="s">
        <v>74</v>
      </c>
      <c r="BH535" t="s">
        <v>74</v>
      </c>
      <c r="BI535">
        <v>4</v>
      </c>
      <c r="BJ535" t="s">
        <v>1813</v>
      </c>
      <c r="BK535" t="s">
        <v>569</v>
      </c>
      <c r="BL535" t="s">
        <v>1814</v>
      </c>
      <c r="BM535" t="s">
        <v>7539</v>
      </c>
      <c r="BN535" t="s">
        <v>74</v>
      </c>
      <c r="BO535" t="s">
        <v>794</v>
      </c>
      <c r="BP535" t="s">
        <v>74</v>
      </c>
      <c r="BQ535" t="s">
        <v>74</v>
      </c>
      <c r="BR535" t="s">
        <v>98</v>
      </c>
      <c r="BS535" t="s">
        <v>7540</v>
      </c>
      <c r="BT535" t="str">
        <f>HYPERLINK("https%3A%2F%2Fwww.webofscience.com%2Fwos%2Fwoscc%2Ffull-record%2FWOS:000180611900007","View Full Record in Web of Science")</f>
        <v>View Full Record in Web of Science</v>
      </c>
    </row>
    <row r="536" spans="1:72" x14ac:dyDescent="0.15">
      <c r="A536" t="s">
        <v>552</v>
      </c>
      <c r="B536" t="s">
        <v>7541</v>
      </c>
      <c r="C536" t="s">
        <v>74</v>
      </c>
      <c r="D536" t="s">
        <v>74</v>
      </c>
      <c r="E536" t="s">
        <v>74</v>
      </c>
      <c r="F536" t="s">
        <v>7541</v>
      </c>
      <c r="G536" t="s">
        <v>74</v>
      </c>
      <c r="H536" t="s">
        <v>74</v>
      </c>
      <c r="I536" t="s">
        <v>7542</v>
      </c>
      <c r="J536" t="s">
        <v>7543</v>
      </c>
      <c r="K536" t="s">
        <v>74</v>
      </c>
      <c r="L536" t="s">
        <v>74</v>
      </c>
      <c r="M536" t="s">
        <v>78</v>
      </c>
      <c r="N536" t="s">
        <v>576</v>
      </c>
      <c r="O536" t="s">
        <v>7544</v>
      </c>
      <c r="P536" t="s">
        <v>7545</v>
      </c>
      <c r="Q536" t="s">
        <v>7546</v>
      </c>
      <c r="R536" t="s">
        <v>74</v>
      </c>
      <c r="S536" t="s">
        <v>74</v>
      </c>
      <c r="T536" t="s">
        <v>7547</v>
      </c>
      <c r="U536" t="s">
        <v>7548</v>
      </c>
      <c r="V536" t="s">
        <v>7549</v>
      </c>
      <c r="W536" t="s">
        <v>7550</v>
      </c>
      <c r="X536" t="s">
        <v>584</v>
      </c>
      <c r="Y536" t="s">
        <v>7551</v>
      </c>
      <c r="Z536" t="s">
        <v>7552</v>
      </c>
      <c r="AA536" t="s">
        <v>7553</v>
      </c>
      <c r="AB536" t="s">
        <v>7554</v>
      </c>
      <c r="AC536" t="s">
        <v>74</v>
      </c>
      <c r="AD536" t="s">
        <v>74</v>
      </c>
      <c r="AE536" t="s">
        <v>74</v>
      </c>
      <c r="AF536" t="s">
        <v>74</v>
      </c>
      <c r="AG536">
        <v>37</v>
      </c>
      <c r="AH536">
        <v>23</v>
      </c>
      <c r="AI536">
        <v>27</v>
      </c>
      <c r="AJ536">
        <v>1</v>
      </c>
      <c r="AK536">
        <v>7</v>
      </c>
      <c r="AL536" t="s">
        <v>3155</v>
      </c>
      <c r="AM536" t="s">
        <v>1861</v>
      </c>
      <c r="AN536" t="s">
        <v>3156</v>
      </c>
      <c r="AO536" t="s">
        <v>7555</v>
      </c>
      <c r="AP536" t="s">
        <v>7556</v>
      </c>
      <c r="AQ536" t="s">
        <v>74</v>
      </c>
      <c r="AR536" t="s">
        <v>7557</v>
      </c>
      <c r="AS536" t="s">
        <v>7558</v>
      </c>
      <c r="AT536" t="s">
        <v>7090</v>
      </c>
      <c r="AU536">
        <v>2002</v>
      </c>
      <c r="AV536">
        <v>34</v>
      </c>
      <c r="AW536" t="s">
        <v>1424</v>
      </c>
      <c r="AX536" t="s">
        <v>74</v>
      </c>
      <c r="AY536" t="s">
        <v>74</v>
      </c>
      <c r="AZ536" t="s">
        <v>74</v>
      </c>
      <c r="BA536" t="s">
        <v>74</v>
      </c>
      <c r="BB536">
        <v>185</v>
      </c>
      <c r="BC536">
        <v>198</v>
      </c>
      <c r="BD536" t="s">
        <v>7559</v>
      </c>
      <c r="BE536" t="s">
        <v>74</v>
      </c>
      <c r="BF536" t="s">
        <v>74</v>
      </c>
      <c r="BG536" t="s">
        <v>74</v>
      </c>
      <c r="BH536" t="s">
        <v>74</v>
      </c>
      <c r="BI536">
        <v>14</v>
      </c>
      <c r="BJ536" t="s">
        <v>2348</v>
      </c>
      <c r="BK536" t="s">
        <v>605</v>
      </c>
      <c r="BL536" t="s">
        <v>2349</v>
      </c>
      <c r="BM536" t="s">
        <v>7560</v>
      </c>
      <c r="BN536" t="s">
        <v>74</v>
      </c>
      <c r="BO536" t="s">
        <v>794</v>
      </c>
      <c r="BP536" t="s">
        <v>74</v>
      </c>
      <c r="BQ536" t="s">
        <v>74</v>
      </c>
      <c r="BR536" t="s">
        <v>98</v>
      </c>
      <c r="BS536" t="s">
        <v>7561</v>
      </c>
      <c r="BT536" t="str">
        <f>HYPERLINK("https%3A%2F%2Fwww.webofscience.com%2Fwos%2Fwoscc%2Ffull-record%2FWOS:000179711500005","View Full Record in Web of Science")</f>
        <v>View Full Record in Web of Science</v>
      </c>
    </row>
    <row r="537" spans="1:72" x14ac:dyDescent="0.15">
      <c r="A537" t="s">
        <v>552</v>
      </c>
      <c r="B537" t="s">
        <v>7562</v>
      </c>
      <c r="C537" t="s">
        <v>74</v>
      </c>
      <c r="D537" t="s">
        <v>74</v>
      </c>
      <c r="E537" t="s">
        <v>74</v>
      </c>
      <c r="F537" t="s">
        <v>7562</v>
      </c>
      <c r="G537" t="s">
        <v>74</v>
      </c>
      <c r="H537" t="s">
        <v>74</v>
      </c>
      <c r="I537" t="s">
        <v>7563</v>
      </c>
      <c r="J537" t="s">
        <v>7564</v>
      </c>
      <c r="K537" t="s">
        <v>74</v>
      </c>
      <c r="L537" t="s">
        <v>74</v>
      </c>
      <c r="M537" t="s">
        <v>78</v>
      </c>
      <c r="N537" t="s">
        <v>775</v>
      </c>
      <c r="O537" t="s">
        <v>74</v>
      </c>
      <c r="P537" t="s">
        <v>74</v>
      </c>
      <c r="Q537" t="s">
        <v>74</v>
      </c>
      <c r="R537" t="s">
        <v>74</v>
      </c>
      <c r="S537" t="s">
        <v>74</v>
      </c>
      <c r="T537" t="s">
        <v>7565</v>
      </c>
      <c r="U537" t="s">
        <v>7566</v>
      </c>
      <c r="V537" t="s">
        <v>7567</v>
      </c>
      <c r="W537" t="s">
        <v>7568</v>
      </c>
      <c r="X537" t="s">
        <v>7569</v>
      </c>
      <c r="Y537" t="s">
        <v>7570</v>
      </c>
      <c r="Z537" t="s">
        <v>74</v>
      </c>
      <c r="AA537" t="s">
        <v>7571</v>
      </c>
      <c r="AB537" t="s">
        <v>7572</v>
      </c>
      <c r="AC537" t="s">
        <v>74</v>
      </c>
      <c r="AD537" t="s">
        <v>74</v>
      </c>
      <c r="AE537" t="s">
        <v>74</v>
      </c>
      <c r="AF537" t="s">
        <v>74</v>
      </c>
      <c r="AG537">
        <v>40</v>
      </c>
      <c r="AH537">
        <v>19</v>
      </c>
      <c r="AI537">
        <v>22</v>
      </c>
      <c r="AJ537">
        <v>0</v>
      </c>
      <c r="AK537">
        <v>7</v>
      </c>
      <c r="AL537" t="s">
        <v>2581</v>
      </c>
      <c r="AM537" t="s">
        <v>807</v>
      </c>
      <c r="AN537" t="s">
        <v>2582</v>
      </c>
      <c r="AO537" t="s">
        <v>7573</v>
      </c>
      <c r="AP537" t="s">
        <v>74</v>
      </c>
      <c r="AQ537" t="s">
        <v>74</v>
      </c>
      <c r="AR537" t="s">
        <v>7574</v>
      </c>
      <c r="AS537" t="s">
        <v>7575</v>
      </c>
      <c r="AT537" t="s">
        <v>7090</v>
      </c>
      <c r="AU537">
        <v>2002</v>
      </c>
      <c r="AV537">
        <v>8</v>
      </c>
      <c r="AW537">
        <v>11</v>
      </c>
      <c r="AX537" t="s">
        <v>74</v>
      </c>
      <c r="AY537" t="s">
        <v>74</v>
      </c>
      <c r="AZ537" t="s">
        <v>74</v>
      </c>
      <c r="BA537" t="s">
        <v>74</v>
      </c>
      <c r="BB537">
        <v>1146</v>
      </c>
      <c r="BC537">
        <v>1155</v>
      </c>
      <c r="BD537" t="s">
        <v>74</v>
      </c>
      <c r="BE537" t="s">
        <v>7576</v>
      </c>
      <c r="BF537" t="str">
        <f>HYPERLINK("http://dx.doi.org/10.1046/j.1365-2486.2002.00539.x","http://dx.doi.org/10.1046/j.1365-2486.2002.00539.x")</f>
        <v>http://dx.doi.org/10.1046/j.1365-2486.2002.00539.x</v>
      </c>
      <c r="BG537" t="s">
        <v>74</v>
      </c>
      <c r="BH537" t="s">
        <v>74</v>
      </c>
      <c r="BI537">
        <v>10</v>
      </c>
      <c r="BJ537" t="s">
        <v>7577</v>
      </c>
      <c r="BK537" t="s">
        <v>569</v>
      </c>
      <c r="BL537" t="s">
        <v>4440</v>
      </c>
      <c r="BM537" t="s">
        <v>7578</v>
      </c>
      <c r="BN537" t="s">
        <v>74</v>
      </c>
      <c r="BO537" t="s">
        <v>572</v>
      </c>
      <c r="BP537" t="s">
        <v>74</v>
      </c>
      <c r="BQ537" t="s">
        <v>74</v>
      </c>
      <c r="BR537" t="s">
        <v>98</v>
      </c>
      <c r="BS537" t="s">
        <v>7579</v>
      </c>
      <c r="BT537" t="str">
        <f>HYPERLINK("https%3A%2F%2Fwww.webofscience.com%2Fwos%2Fwoscc%2Ffull-record%2FWOS:000178346900010","View Full Record in Web of Science")</f>
        <v>View Full Record in Web of Science</v>
      </c>
    </row>
    <row r="538" spans="1:72" x14ac:dyDescent="0.15">
      <c r="A538" t="s">
        <v>552</v>
      </c>
      <c r="B538" t="s">
        <v>7580</v>
      </c>
      <c r="C538" t="s">
        <v>74</v>
      </c>
      <c r="D538" t="s">
        <v>74</v>
      </c>
      <c r="E538" t="s">
        <v>74</v>
      </c>
      <c r="F538" t="s">
        <v>7580</v>
      </c>
      <c r="G538" t="s">
        <v>74</v>
      </c>
      <c r="H538" t="s">
        <v>74</v>
      </c>
      <c r="I538" t="s">
        <v>7581</v>
      </c>
      <c r="J538" t="s">
        <v>7582</v>
      </c>
      <c r="K538" t="s">
        <v>74</v>
      </c>
      <c r="L538" t="s">
        <v>74</v>
      </c>
      <c r="M538" t="s">
        <v>78</v>
      </c>
      <c r="N538" t="s">
        <v>775</v>
      </c>
      <c r="O538" t="s">
        <v>74</v>
      </c>
      <c r="P538" t="s">
        <v>74</v>
      </c>
      <c r="Q538" t="s">
        <v>74</v>
      </c>
      <c r="R538" t="s">
        <v>74</v>
      </c>
      <c r="S538" t="s">
        <v>74</v>
      </c>
      <c r="T538" t="s">
        <v>7583</v>
      </c>
      <c r="U538" t="s">
        <v>7584</v>
      </c>
      <c r="V538" t="s">
        <v>7585</v>
      </c>
      <c r="W538" t="s">
        <v>7586</v>
      </c>
      <c r="X538" t="s">
        <v>7587</v>
      </c>
      <c r="Y538" t="s">
        <v>7588</v>
      </c>
      <c r="Z538" t="s">
        <v>74</v>
      </c>
      <c r="AA538" t="s">
        <v>7589</v>
      </c>
      <c r="AB538" t="s">
        <v>74</v>
      </c>
      <c r="AC538" t="s">
        <v>74</v>
      </c>
      <c r="AD538" t="s">
        <v>74</v>
      </c>
      <c r="AE538" t="s">
        <v>74</v>
      </c>
      <c r="AF538" t="s">
        <v>74</v>
      </c>
      <c r="AG538">
        <v>17</v>
      </c>
      <c r="AH538">
        <v>19</v>
      </c>
      <c r="AI538">
        <v>25</v>
      </c>
      <c r="AJ538">
        <v>0</v>
      </c>
      <c r="AK538">
        <v>14</v>
      </c>
      <c r="AL538" t="s">
        <v>7590</v>
      </c>
      <c r="AM538" t="s">
        <v>561</v>
      </c>
      <c r="AN538" t="s">
        <v>7591</v>
      </c>
      <c r="AO538" t="s">
        <v>7592</v>
      </c>
      <c r="AP538" t="s">
        <v>74</v>
      </c>
      <c r="AQ538" t="s">
        <v>74</v>
      </c>
      <c r="AR538" t="s">
        <v>7593</v>
      </c>
      <c r="AS538" t="s">
        <v>7594</v>
      </c>
      <c r="AT538" t="s">
        <v>7090</v>
      </c>
      <c r="AU538">
        <v>2002</v>
      </c>
      <c r="AV538">
        <v>40</v>
      </c>
      <c r="AW538">
        <v>11</v>
      </c>
      <c r="AX538" t="s">
        <v>74</v>
      </c>
      <c r="AY538" t="s">
        <v>74</v>
      </c>
      <c r="AZ538" t="s">
        <v>74</v>
      </c>
      <c r="BA538" t="s">
        <v>74</v>
      </c>
      <c r="BB538">
        <v>2353</v>
      </c>
      <c r="BC538">
        <v>2362</v>
      </c>
      <c r="BD538" t="s">
        <v>74</v>
      </c>
      <c r="BE538" t="s">
        <v>7595</v>
      </c>
      <c r="BF538" t="str">
        <f>HYPERLINK("http://dx.doi.org/10.1109/TGRS.2002.803849","http://dx.doi.org/10.1109/TGRS.2002.803849")</f>
        <v>http://dx.doi.org/10.1109/TGRS.2002.803849</v>
      </c>
      <c r="BG538" t="s">
        <v>74</v>
      </c>
      <c r="BH538" t="s">
        <v>74</v>
      </c>
      <c r="BI538">
        <v>10</v>
      </c>
      <c r="BJ538" t="s">
        <v>7596</v>
      </c>
      <c r="BK538" t="s">
        <v>569</v>
      </c>
      <c r="BL538" t="s">
        <v>7597</v>
      </c>
      <c r="BM538" t="s">
        <v>7598</v>
      </c>
      <c r="BN538" t="s">
        <v>74</v>
      </c>
      <c r="BO538" t="s">
        <v>74</v>
      </c>
      <c r="BP538" t="s">
        <v>74</v>
      </c>
      <c r="BQ538" t="s">
        <v>74</v>
      </c>
      <c r="BR538" t="s">
        <v>98</v>
      </c>
      <c r="BS538" t="s">
        <v>7599</v>
      </c>
      <c r="BT538" t="str">
        <f>HYPERLINK("https%3A%2F%2Fwww.webofscience.com%2Fwos%2Fwoscc%2Ffull-record%2FWOS:000180486900002","View Full Record in Web of Science")</f>
        <v>View Full Record in Web of Science</v>
      </c>
    </row>
    <row r="539" spans="1:72" x14ac:dyDescent="0.15">
      <c r="A539" t="s">
        <v>552</v>
      </c>
      <c r="B539" t="s">
        <v>7600</v>
      </c>
      <c r="C539" t="s">
        <v>74</v>
      </c>
      <c r="D539" t="s">
        <v>74</v>
      </c>
      <c r="E539" t="s">
        <v>74</v>
      </c>
      <c r="F539" t="s">
        <v>7600</v>
      </c>
      <c r="G539" t="s">
        <v>74</v>
      </c>
      <c r="H539" t="s">
        <v>74</v>
      </c>
      <c r="I539" t="s">
        <v>7601</v>
      </c>
      <c r="J539" t="s">
        <v>2431</v>
      </c>
      <c r="K539" t="s">
        <v>74</v>
      </c>
      <c r="L539" t="s">
        <v>74</v>
      </c>
      <c r="M539" t="s">
        <v>78</v>
      </c>
      <c r="N539" t="s">
        <v>775</v>
      </c>
      <c r="O539" t="s">
        <v>74</v>
      </c>
      <c r="P539" t="s">
        <v>74</v>
      </c>
      <c r="Q539" t="s">
        <v>74</v>
      </c>
      <c r="R539" t="s">
        <v>74</v>
      </c>
      <c r="S539" t="s">
        <v>74</v>
      </c>
      <c r="T539" t="s">
        <v>7602</v>
      </c>
      <c r="U539" t="s">
        <v>7603</v>
      </c>
      <c r="V539" t="s">
        <v>7604</v>
      </c>
      <c r="W539" t="s">
        <v>7605</v>
      </c>
      <c r="X539" t="s">
        <v>3395</v>
      </c>
      <c r="Y539" t="s">
        <v>7606</v>
      </c>
      <c r="Z539" t="s">
        <v>74</v>
      </c>
      <c r="AA539" t="s">
        <v>7607</v>
      </c>
      <c r="AB539" t="s">
        <v>7608</v>
      </c>
      <c r="AC539" t="s">
        <v>74</v>
      </c>
      <c r="AD539" t="s">
        <v>74</v>
      </c>
      <c r="AE539" t="s">
        <v>74</v>
      </c>
      <c r="AF539" t="s">
        <v>74</v>
      </c>
      <c r="AG539">
        <v>22</v>
      </c>
      <c r="AH539">
        <v>68</v>
      </c>
      <c r="AI539">
        <v>76</v>
      </c>
      <c r="AJ539">
        <v>1</v>
      </c>
      <c r="AK539">
        <v>18</v>
      </c>
      <c r="AL539" t="s">
        <v>7609</v>
      </c>
      <c r="AM539" t="s">
        <v>4630</v>
      </c>
      <c r="AN539" t="s">
        <v>7610</v>
      </c>
      <c r="AO539" t="s">
        <v>2441</v>
      </c>
      <c r="AP539" t="s">
        <v>74</v>
      </c>
      <c r="AQ539" t="s">
        <v>74</v>
      </c>
      <c r="AR539" t="s">
        <v>2443</v>
      </c>
      <c r="AS539" t="s">
        <v>2444</v>
      </c>
      <c r="AT539" t="s">
        <v>7090</v>
      </c>
      <c r="AU539">
        <v>2002</v>
      </c>
      <c r="AV539">
        <v>52</v>
      </c>
      <c r="AW539" t="s">
        <v>74</v>
      </c>
      <c r="AX539">
        <v>6</v>
      </c>
      <c r="AY539" t="s">
        <v>74</v>
      </c>
      <c r="AZ539" t="s">
        <v>74</v>
      </c>
      <c r="BA539" t="s">
        <v>74</v>
      </c>
      <c r="BB539">
        <v>2101</v>
      </c>
      <c r="BC539">
        <v>2106</v>
      </c>
      <c r="BD539" t="s">
        <v>74</v>
      </c>
      <c r="BE539" t="s">
        <v>7611</v>
      </c>
      <c r="BF539" t="str">
        <f>HYPERLINK("http://dx.doi.org/10.1099/ijs.0.02351-0","http://dx.doi.org/10.1099/ijs.0.02351-0")</f>
        <v>http://dx.doi.org/10.1099/ijs.0.02351-0</v>
      </c>
      <c r="BG539" t="s">
        <v>74</v>
      </c>
      <c r="BH539" t="s">
        <v>74</v>
      </c>
      <c r="BI539">
        <v>6</v>
      </c>
      <c r="BJ539" t="s">
        <v>2446</v>
      </c>
      <c r="BK539" t="s">
        <v>569</v>
      </c>
      <c r="BL539" t="s">
        <v>2446</v>
      </c>
      <c r="BM539" t="s">
        <v>7612</v>
      </c>
      <c r="BN539">
        <v>12508875</v>
      </c>
      <c r="BO539" t="s">
        <v>74</v>
      </c>
      <c r="BP539" t="s">
        <v>74</v>
      </c>
      <c r="BQ539" t="s">
        <v>74</v>
      </c>
      <c r="BR539" t="s">
        <v>98</v>
      </c>
      <c r="BS539" t="s">
        <v>7613</v>
      </c>
      <c r="BT539" t="str">
        <f>HYPERLINK("https%3A%2F%2Fwww.webofscience.com%2Fwos%2Fwoscc%2Ffull-record%2FWOS:000179838100028","View Full Record in Web of Science")</f>
        <v>View Full Record in Web of Science</v>
      </c>
    </row>
    <row r="540" spans="1:72" x14ac:dyDescent="0.15">
      <c r="A540" t="s">
        <v>552</v>
      </c>
      <c r="B540" t="s">
        <v>7614</v>
      </c>
      <c r="C540" t="s">
        <v>74</v>
      </c>
      <c r="D540" t="s">
        <v>74</v>
      </c>
      <c r="E540" t="s">
        <v>74</v>
      </c>
      <c r="F540" t="s">
        <v>7614</v>
      </c>
      <c r="G540" t="s">
        <v>74</v>
      </c>
      <c r="H540" t="s">
        <v>74</v>
      </c>
      <c r="I540" t="s">
        <v>7615</v>
      </c>
      <c r="J540" t="s">
        <v>2431</v>
      </c>
      <c r="K540" t="s">
        <v>74</v>
      </c>
      <c r="L540" t="s">
        <v>74</v>
      </c>
      <c r="M540" t="s">
        <v>78</v>
      </c>
      <c r="N540" t="s">
        <v>775</v>
      </c>
      <c r="O540" t="s">
        <v>74</v>
      </c>
      <c r="P540" t="s">
        <v>74</v>
      </c>
      <c r="Q540" t="s">
        <v>74</v>
      </c>
      <c r="R540" t="s">
        <v>74</v>
      </c>
      <c r="S540" t="s">
        <v>74</v>
      </c>
      <c r="T540" t="s">
        <v>7616</v>
      </c>
      <c r="U540" t="s">
        <v>74</v>
      </c>
      <c r="V540" t="s">
        <v>7617</v>
      </c>
      <c r="W540" t="s">
        <v>7618</v>
      </c>
      <c r="X540" t="s">
        <v>7619</v>
      </c>
      <c r="Y540" t="s">
        <v>7620</v>
      </c>
      <c r="Z540" t="s">
        <v>7621</v>
      </c>
      <c r="AA540" t="s">
        <v>74</v>
      </c>
      <c r="AB540" t="s">
        <v>7622</v>
      </c>
      <c r="AC540" t="s">
        <v>74</v>
      </c>
      <c r="AD540" t="s">
        <v>74</v>
      </c>
      <c r="AE540" t="s">
        <v>74</v>
      </c>
      <c r="AF540" t="s">
        <v>74</v>
      </c>
      <c r="AG540">
        <v>12</v>
      </c>
      <c r="AH540">
        <v>33</v>
      </c>
      <c r="AI540">
        <v>34</v>
      </c>
      <c r="AJ540">
        <v>1</v>
      </c>
      <c r="AK540">
        <v>8</v>
      </c>
      <c r="AL540" t="s">
        <v>2439</v>
      </c>
      <c r="AM540" t="s">
        <v>2113</v>
      </c>
      <c r="AN540" t="s">
        <v>2440</v>
      </c>
      <c r="AO540" t="s">
        <v>2441</v>
      </c>
      <c r="AP540" t="s">
        <v>2442</v>
      </c>
      <c r="AQ540" t="s">
        <v>74</v>
      </c>
      <c r="AR540" t="s">
        <v>2443</v>
      </c>
      <c r="AS540" t="s">
        <v>2444</v>
      </c>
      <c r="AT540" t="s">
        <v>7090</v>
      </c>
      <c r="AU540">
        <v>2002</v>
      </c>
      <c r="AV540">
        <v>52</v>
      </c>
      <c r="AW540" t="s">
        <v>74</v>
      </c>
      <c r="AX540">
        <v>6</v>
      </c>
      <c r="AY540" t="s">
        <v>74</v>
      </c>
      <c r="AZ540" t="s">
        <v>74</v>
      </c>
      <c r="BA540" t="s">
        <v>74</v>
      </c>
      <c r="BB540">
        <v>2303</v>
      </c>
      <c r="BC540">
        <v>2308</v>
      </c>
      <c r="BD540" t="s">
        <v>74</v>
      </c>
      <c r="BE540" t="s">
        <v>7623</v>
      </c>
      <c r="BF540" t="str">
        <f>HYPERLINK("http://dx.doi.org/10.1099/ijs.0.02293-0","http://dx.doi.org/10.1099/ijs.0.02293-0")</f>
        <v>http://dx.doi.org/10.1099/ijs.0.02293-0</v>
      </c>
      <c r="BG540" t="s">
        <v>74</v>
      </c>
      <c r="BH540" t="s">
        <v>74</v>
      </c>
      <c r="BI540">
        <v>6</v>
      </c>
      <c r="BJ540" t="s">
        <v>2446</v>
      </c>
      <c r="BK540" t="s">
        <v>569</v>
      </c>
      <c r="BL540" t="s">
        <v>2446</v>
      </c>
      <c r="BM540" t="s">
        <v>7612</v>
      </c>
      <c r="BN540">
        <v>12508901</v>
      </c>
      <c r="BO540" t="s">
        <v>74</v>
      </c>
      <c r="BP540" t="s">
        <v>74</v>
      </c>
      <c r="BQ540" t="s">
        <v>74</v>
      </c>
      <c r="BR540" t="s">
        <v>98</v>
      </c>
      <c r="BS540" t="s">
        <v>7624</v>
      </c>
      <c r="BT540" t="str">
        <f>HYPERLINK("https%3A%2F%2Fwww.webofscience.com%2Fwos%2Fwoscc%2Ffull-record%2FWOS:000179838100054","View Full Record in Web of Science")</f>
        <v>View Full Record in Web of Science</v>
      </c>
    </row>
    <row r="541" spans="1:72" x14ac:dyDescent="0.15">
      <c r="A541" t="s">
        <v>552</v>
      </c>
      <c r="B541" t="s">
        <v>7625</v>
      </c>
      <c r="C541" t="s">
        <v>74</v>
      </c>
      <c r="D541" t="s">
        <v>74</v>
      </c>
      <c r="E541" t="s">
        <v>74</v>
      </c>
      <c r="F541" t="s">
        <v>7625</v>
      </c>
      <c r="G541" t="s">
        <v>74</v>
      </c>
      <c r="H541" t="s">
        <v>74</v>
      </c>
      <c r="I541" t="s">
        <v>7626</v>
      </c>
      <c r="J541" t="s">
        <v>7627</v>
      </c>
      <c r="K541" t="s">
        <v>74</v>
      </c>
      <c r="L541" t="s">
        <v>74</v>
      </c>
      <c r="M541" t="s">
        <v>78</v>
      </c>
      <c r="N541" t="s">
        <v>775</v>
      </c>
      <c r="O541" t="s">
        <v>74</v>
      </c>
      <c r="P541" t="s">
        <v>74</v>
      </c>
      <c r="Q541" t="s">
        <v>74</v>
      </c>
      <c r="R541" t="s">
        <v>74</v>
      </c>
      <c r="S541" t="s">
        <v>74</v>
      </c>
      <c r="T541" t="s">
        <v>74</v>
      </c>
      <c r="U541" t="s">
        <v>7628</v>
      </c>
      <c r="V541" t="s">
        <v>7629</v>
      </c>
      <c r="W541" t="s">
        <v>7630</v>
      </c>
      <c r="X541" t="s">
        <v>74</v>
      </c>
      <c r="Y541" t="s">
        <v>7631</v>
      </c>
      <c r="Z541" t="s">
        <v>74</v>
      </c>
      <c r="AA541" t="s">
        <v>74</v>
      </c>
      <c r="AB541" t="s">
        <v>74</v>
      </c>
      <c r="AC541" t="s">
        <v>74</v>
      </c>
      <c r="AD541" t="s">
        <v>74</v>
      </c>
      <c r="AE541" t="s">
        <v>74</v>
      </c>
      <c r="AF541" t="s">
        <v>74</v>
      </c>
      <c r="AG541">
        <v>27</v>
      </c>
      <c r="AH541">
        <v>0</v>
      </c>
      <c r="AI541">
        <v>0</v>
      </c>
      <c r="AJ541">
        <v>0</v>
      </c>
      <c r="AK541">
        <v>1</v>
      </c>
      <c r="AL541" t="s">
        <v>1807</v>
      </c>
      <c r="AM541" t="s">
        <v>1808</v>
      </c>
      <c r="AN541" t="s">
        <v>1809</v>
      </c>
      <c r="AO541" t="s">
        <v>7632</v>
      </c>
      <c r="AP541" t="s">
        <v>74</v>
      </c>
      <c r="AQ541" t="s">
        <v>74</v>
      </c>
      <c r="AR541" t="s">
        <v>7633</v>
      </c>
      <c r="AS541" t="s">
        <v>7634</v>
      </c>
      <c r="AT541" t="s">
        <v>7090</v>
      </c>
      <c r="AU541">
        <v>2002</v>
      </c>
      <c r="AV541">
        <v>38</v>
      </c>
      <c r="AW541">
        <v>11</v>
      </c>
      <c r="AX541" t="s">
        <v>74</v>
      </c>
      <c r="AY541" t="s">
        <v>74</v>
      </c>
      <c r="AZ541" t="s">
        <v>74</v>
      </c>
      <c r="BA541" t="s">
        <v>74</v>
      </c>
      <c r="BB541">
        <v>985</v>
      </c>
      <c r="BC541">
        <v>991</v>
      </c>
      <c r="BD541" t="s">
        <v>74</v>
      </c>
      <c r="BE541" t="s">
        <v>74</v>
      </c>
      <c r="BF541" t="s">
        <v>74</v>
      </c>
      <c r="BG541" t="s">
        <v>74</v>
      </c>
      <c r="BH541" t="s">
        <v>74</v>
      </c>
      <c r="BI541">
        <v>7</v>
      </c>
      <c r="BJ541" t="s">
        <v>2068</v>
      </c>
      <c r="BK541" t="s">
        <v>569</v>
      </c>
      <c r="BL541" t="s">
        <v>2068</v>
      </c>
      <c r="BM541" t="s">
        <v>7635</v>
      </c>
      <c r="BN541" t="s">
        <v>74</v>
      </c>
      <c r="BO541" t="s">
        <v>74</v>
      </c>
      <c r="BP541" t="s">
        <v>74</v>
      </c>
      <c r="BQ541" t="s">
        <v>74</v>
      </c>
      <c r="BR541" t="s">
        <v>98</v>
      </c>
      <c r="BS541" t="s">
        <v>7636</v>
      </c>
      <c r="BT541" t="str">
        <f>HYPERLINK("https%3A%2F%2Fwww.webofscience.com%2Fwos%2Fwoscc%2Ffull-record%2FWOS:000179539500008","View Full Record in Web of Science")</f>
        <v>View Full Record in Web of Science</v>
      </c>
    </row>
    <row r="542" spans="1:72" x14ac:dyDescent="0.15">
      <c r="A542" t="s">
        <v>552</v>
      </c>
      <c r="B542" t="s">
        <v>7637</v>
      </c>
      <c r="C542" t="s">
        <v>74</v>
      </c>
      <c r="D542" t="s">
        <v>74</v>
      </c>
      <c r="E542" t="s">
        <v>74</v>
      </c>
      <c r="F542" t="s">
        <v>7637</v>
      </c>
      <c r="G542" t="s">
        <v>74</v>
      </c>
      <c r="H542" t="s">
        <v>74</v>
      </c>
      <c r="I542" t="s">
        <v>7638</v>
      </c>
      <c r="J542" t="s">
        <v>7639</v>
      </c>
      <c r="K542" t="s">
        <v>74</v>
      </c>
      <c r="L542" t="s">
        <v>74</v>
      </c>
      <c r="M542" t="s">
        <v>78</v>
      </c>
      <c r="N542" t="s">
        <v>775</v>
      </c>
      <c r="O542" t="s">
        <v>74</v>
      </c>
      <c r="P542" t="s">
        <v>74</v>
      </c>
      <c r="Q542" t="s">
        <v>74</v>
      </c>
      <c r="R542" t="s">
        <v>74</v>
      </c>
      <c r="S542" t="s">
        <v>74</v>
      </c>
      <c r="T542" t="s">
        <v>7640</v>
      </c>
      <c r="U542" t="s">
        <v>7641</v>
      </c>
      <c r="V542" t="s">
        <v>7642</v>
      </c>
      <c r="W542" t="s">
        <v>7643</v>
      </c>
      <c r="X542" t="s">
        <v>7644</v>
      </c>
      <c r="Y542" t="s">
        <v>7645</v>
      </c>
      <c r="Z542" t="s">
        <v>7646</v>
      </c>
      <c r="AA542" t="s">
        <v>7647</v>
      </c>
      <c r="AB542" t="s">
        <v>7648</v>
      </c>
      <c r="AC542" t="s">
        <v>74</v>
      </c>
      <c r="AD542" t="s">
        <v>74</v>
      </c>
      <c r="AE542" t="s">
        <v>74</v>
      </c>
      <c r="AF542" t="s">
        <v>74</v>
      </c>
      <c r="AG542">
        <v>34</v>
      </c>
      <c r="AH542">
        <v>25</v>
      </c>
      <c r="AI542">
        <v>25</v>
      </c>
      <c r="AJ542">
        <v>0</v>
      </c>
      <c r="AK542">
        <v>0</v>
      </c>
      <c r="AL542" t="s">
        <v>1147</v>
      </c>
      <c r="AM542" t="s">
        <v>1148</v>
      </c>
      <c r="AN542" t="s">
        <v>1149</v>
      </c>
      <c r="AO542" t="s">
        <v>7649</v>
      </c>
      <c r="AP542" t="s">
        <v>7650</v>
      </c>
      <c r="AQ542" t="s">
        <v>74</v>
      </c>
      <c r="AR542" t="s">
        <v>7651</v>
      </c>
      <c r="AS542" t="s">
        <v>7652</v>
      </c>
      <c r="AT542" t="s">
        <v>7090</v>
      </c>
      <c r="AU542">
        <v>2002</v>
      </c>
      <c r="AV542">
        <v>201</v>
      </c>
      <c r="AW542">
        <v>5</v>
      </c>
      <c r="AX542" t="s">
        <v>74</v>
      </c>
      <c r="AY542" t="s">
        <v>74</v>
      </c>
      <c r="AZ542" t="s">
        <v>74</v>
      </c>
      <c r="BA542" t="s">
        <v>74</v>
      </c>
      <c r="BB542">
        <v>395</v>
      </c>
      <c r="BC542">
        <v>404</v>
      </c>
      <c r="BD542" t="s">
        <v>74</v>
      </c>
      <c r="BE542" t="s">
        <v>7653</v>
      </c>
      <c r="BF542" t="str">
        <f>HYPERLINK("http://dx.doi.org/10.1046/j.0021-8782.2002.00110.x","http://dx.doi.org/10.1046/j.0021-8782.2002.00110.x")</f>
        <v>http://dx.doi.org/10.1046/j.0021-8782.2002.00110.x</v>
      </c>
      <c r="BG542" t="s">
        <v>74</v>
      </c>
      <c r="BH542" t="s">
        <v>74</v>
      </c>
      <c r="BI542">
        <v>10</v>
      </c>
      <c r="BJ542" t="s">
        <v>7654</v>
      </c>
      <c r="BK542" t="s">
        <v>569</v>
      </c>
      <c r="BL542" t="s">
        <v>7654</v>
      </c>
      <c r="BM542" t="s">
        <v>7655</v>
      </c>
      <c r="BN542">
        <v>12448774</v>
      </c>
      <c r="BO542" t="s">
        <v>794</v>
      </c>
      <c r="BP542" t="s">
        <v>74</v>
      </c>
      <c r="BQ542" t="s">
        <v>74</v>
      </c>
      <c r="BR542" t="s">
        <v>98</v>
      </c>
      <c r="BS542" t="s">
        <v>7656</v>
      </c>
      <c r="BT542" t="str">
        <f>HYPERLINK("https%3A%2F%2Fwww.webofscience.com%2Fwos%2Fwoscc%2Ffull-record%2FWOS:000179109500005","View Full Record in Web of Science")</f>
        <v>View Full Record in Web of Science</v>
      </c>
    </row>
    <row r="543" spans="1:72" x14ac:dyDescent="0.15">
      <c r="A543" t="s">
        <v>552</v>
      </c>
      <c r="B543" t="s">
        <v>7657</v>
      </c>
      <c r="C543" t="s">
        <v>74</v>
      </c>
      <c r="D543" t="s">
        <v>74</v>
      </c>
      <c r="E543" t="s">
        <v>74</v>
      </c>
      <c r="F543" t="s">
        <v>7657</v>
      </c>
      <c r="G543" t="s">
        <v>74</v>
      </c>
      <c r="H543" t="s">
        <v>74</v>
      </c>
      <c r="I543" t="s">
        <v>7658</v>
      </c>
      <c r="J543" t="s">
        <v>6212</v>
      </c>
      <c r="K543" t="s">
        <v>74</v>
      </c>
      <c r="L543" t="s">
        <v>74</v>
      </c>
      <c r="M543" t="s">
        <v>78</v>
      </c>
      <c r="N543" t="s">
        <v>775</v>
      </c>
      <c r="O543" t="s">
        <v>74</v>
      </c>
      <c r="P543" t="s">
        <v>74</v>
      </c>
      <c r="Q543" t="s">
        <v>74</v>
      </c>
      <c r="R543" t="s">
        <v>74</v>
      </c>
      <c r="S543" t="s">
        <v>74</v>
      </c>
      <c r="T543" t="s">
        <v>74</v>
      </c>
      <c r="U543" t="s">
        <v>7659</v>
      </c>
      <c r="V543" t="s">
        <v>7660</v>
      </c>
      <c r="W543" t="s">
        <v>1526</v>
      </c>
      <c r="X543" t="s">
        <v>1527</v>
      </c>
      <c r="Y543" t="s">
        <v>7661</v>
      </c>
      <c r="Z543" t="s">
        <v>74</v>
      </c>
      <c r="AA543" t="s">
        <v>74</v>
      </c>
      <c r="AB543" t="s">
        <v>74</v>
      </c>
      <c r="AC543" t="s">
        <v>74</v>
      </c>
      <c r="AD543" t="s">
        <v>74</v>
      </c>
      <c r="AE543" t="s">
        <v>74</v>
      </c>
      <c r="AF543" t="s">
        <v>74</v>
      </c>
      <c r="AG543">
        <v>18</v>
      </c>
      <c r="AH543">
        <v>12</v>
      </c>
      <c r="AI543">
        <v>13</v>
      </c>
      <c r="AJ543">
        <v>0</v>
      </c>
      <c r="AK543">
        <v>3</v>
      </c>
      <c r="AL543" t="s">
        <v>2652</v>
      </c>
      <c r="AM543" t="s">
        <v>2653</v>
      </c>
      <c r="AN543" t="s">
        <v>2654</v>
      </c>
      <c r="AO543" t="s">
        <v>6217</v>
      </c>
      <c r="AP543" t="s">
        <v>74</v>
      </c>
      <c r="AQ543" t="s">
        <v>74</v>
      </c>
      <c r="AR543" t="s">
        <v>6218</v>
      </c>
      <c r="AS543" t="s">
        <v>6219</v>
      </c>
      <c r="AT543" t="s">
        <v>7090</v>
      </c>
      <c r="AU543">
        <v>2002</v>
      </c>
      <c r="AV543">
        <v>19</v>
      </c>
      <c r="AW543">
        <v>11</v>
      </c>
      <c r="AX543" t="s">
        <v>74</v>
      </c>
      <c r="AY543" t="s">
        <v>74</v>
      </c>
      <c r="AZ543" t="s">
        <v>74</v>
      </c>
      <c r="BA543" t="s">
        <v>74</v>
      </c>
      <c r="BB543">
        <v>1826</v>
      </c>
      <c r="BC543">
        <v>1833</v>
      </c>
      <c r="BD543" t="s">
        <v>74</v>
      </c>
      <c r="BE543" t="s">
        <v>7662</v>
      </c>
      <c r="BF543" t="str">
        <f>HYPERLINK("http://dx.doi.org/10.1175/1520-0426(2002)019&lt;1826:ICCFNA&gt;2.0.CO;2","http://dx.doi.org/10.1175/1520-0426(2002)019&lt;1826:ICCFNA&gt;2.0.CO;2")</f>
        <v>http://dx.doi.org/10.1175/1520-0426(2002)019&lt;1826:ICCFNA&gt;2.0.CO;2</v>
      </c>
      <c r="BG543" t="s">
        <v>74</v>
      </c>
      <c r="BH543" t="s">
        <v>74</v>
      </c>
      <c r="BI543">
        <v>8</v>
      </c>
      <c r="BJ543" t="s">
        <v>6221</v>
      </c>
      <c r="BK543" t="s">
        <v>569</v>
      </c>
      <c r="BL543" t="s">
        <v>6222</v>
      </c>
      <c r="BM543" t="s">
        <v>7663</v>
      </c>
      <c r="BN543" t="s">
        <v>74</v>
      </c>
      <c r="BO543" t="s">
        <v>572</v>
      </c>
      <c r="BP543" t="s">
        <v>74</v>
      </c>
      <c r="BQ543" t="s">
        <v>74</v>
      </c>
      <c r="BR543" t="s">
        <v>98</v>
      </c>
      <c r="BS543" t="s">
        <v>7664</v>
      </c>
      <c r="BT543" t="str">
        <f>HYPERLINK("https%3A%2F%2Fwww.webofscience.com%2Fwos%2Fwoscc%2Ffull-record%2FWOS:000178967900007","View Full Record in Web of Science")</f>
        <v>View Full Record in Web of Science</v>
      </c>
    </row>
    <row r="544" spans="1:72" x14ac:dyDescent="0.15">
      <c r="A544" t="s">
        <v>552</v>
      </c>
      <c r="B544" t="s">
        <v>7665</v>
      </c>
      <c r="C544" t="s">
        <v>74</v>
      </c>
      <c r="D544" t="s">
        <v>74</v>
      </c>
      <c r="E544" t="s">
        <v>74</v>
      </c>
      <c r="F544" t="s">
        <v>7665</v>
      </c>
      <c r="G544" t="s">
        <v>74</v>
      </c>
      <c r="H544" t="s">
        <v>74</v>
      </c>
      <c r="I544" t="s">
        <v>7666</v>
      </c>
      <c r="J544" t="s">
        <v>6227</v>
      </c>
      <c r="K544" t="s">
        <v>74</v>
      </c>
      <c r="L544" t="s">
        <v>74</v>
      </c>
      <c r="M544" t="s">
        <v>78</v>
      </c>
      <c r="N544" t="s">
        <v>775</v>
      </c>
      <c r="O544" t="s">
        <v>74</v>
      </c>
      <c r="P544" t="s">
        <v>74</v>
      </c>
      <c r="Q544" t="s">
        <v>74</v>
      </c>
      <c r="R544" t="s">
        <v>74</v>
      </c>
      <c r="S544" t="s">
        <v>74</v>
      </c>
      <c r="T544" t="s">
        <v>7667</v>
      </c>
      <c r="U544" t="s">
        <v>7668</v>
      </c>
      <c r="V544" t="s">
        <v>7669</v>
      </c>
      <c r="W544" t="s">
        <v>7670</v>
      </c>
      <c r="X544" t="s">
        <v>7671</v>
      </c>
      <c r="Y544" t="s">
        <v>7672</v>
      </c>
      <c r="Z544" t="s">
        <v>74</v>
      </c>
      <c r="AA544" t="s">
        <v>74</v>
      </c>
      <c r="AB544" t="s">
        <v>74</v>
      </c>
      <c r="AC544" t="s">
        <v>74</v>
      </c>
      <c r="AD544" t="s">
        <v>74</v>
      </c>
      <c r="AE544" t="s">
        <v>74</v>
      </c>
      <c r="AF544" t="s">
        <v>74</v>
      </c>
      <c r="AG544">
        <v>34</v>
      </c>
      <c r="AH544">
        <v>27</v>
      </c>
      <c r="AI544">
        <v>29</v>
      </c>
      <c r="AJ544">
        <v>0</v>
      </c>
      <c r="AK544">
        <v>5</v>
      </c>
      <c r="AL544" t="s">
        <v>806</v>
      </c>
      <c r="AM544" t="s">
        <v>807</v>
      </c>
      <c r="AN544" t="s">
        <v>808</v>
      </c>
      <c r="AO544" t="s">
        <v>6236</v>
      </c>
      <c r="AP544" t="s">
        <v>74</v>
      </c>
      <c r="AQ544" t="s">
        <v>74</v>
      </c>
      <c r="AR544" t="s">
        <v>6237</v>
      </c>
      <c r="AS544" t="s">
        <v>6238</v>
      </c>
      <c r="AT544" t="s">
        <v>7090</v>
      </c>
      <c r="AU544">
        <v>2002</v>
      </c>
      <c r="AV544">
        <v>64</v>
      </c>
      <c r="AW544">
        <v>17</v>
      </c>
      <c r="AX544" t="s">
        <v>74</v>
      </c>
      <c r="AY544" t="s">
        <v>74</v>
      </c>
      <c r="AZ544" t="s">
        <v>74</v>
      </c>
      <c r="BA544" t="s">
        <v>74</v>
      </c>
      <c r="BB544">
        <v>1823</v>
      </c>
      <c r="BC544">
        <v>1832</v>
      </c>
      <c r="BD544" t="s">
        <v>7673</v>
      </c>
      <c r="BE544" t="s">
        <v>7674</v>
      </c>
      <c r="BF544" t="str">
        <f>HYPERLINK("http://dx.doi.org/10.1016/S1364-6826(02)00191-8","http://dx.doi.org/10.1016/S1364-6826(02)00191-8")</f>
        <v>http://dx.doi.org/10.1016/S1364-6826(02)00191-8</v>
      </c>
      <c r="BG544" t="s">
        <v>74</v>
      </c>
      <c r="BH544" t="s">
        <v>74</v>
      </c>
      <c r="BI544">
        <v>10</v>
      </c>
      <c r="BJ544" t="s">
        <v>841</v>
      </c>
      <c r="BK544" t="s">
        <v>569</v>
      </c>
      <c r="BL544" t="s">
        <v>841</v>
      </c>
      <c r="BM544" t="s">
        <v>7675</v>
      </c>
      <c r="BN544" t="s">
        <v>74</v>
      </c>
      <c r="BO544" t="s">
        <v>74</v>
      </c>
      <c r="BP544" t="s">
        <v>74</v>
      </c>
      <c r="BQ544" t="s">
        <v>74</v>
      </c>
      <c r="BR544" t="s">
        <v>98</v>
      </c>
      <c r="BS544" t="s">
        <v>7676</v>
      </c>
      <c r="BT544" t="str">
        <f>HYPERLINK("https%3A%2F%2Fwww.webofscience.com%2Fwos%2Fwoscc%2Ffull-record%2FWOS:000178516500003","View Full Record in Web of Science")</f>
        <v>View Full Record in Web of Science</v>
      </c>
    </row>
    <row r="545" spans="1:72" x14ac:dyDescent="0.15">
      <c r="A545" t="s">
        <v>552</v>
      </c>
      <c r="B545" t="s">
        <v>7677</v>
      </c>
      <c r="C545" t="s">
        <v>74</v>
      </c>
      <c r="D545" t="s">
        <v>74</v>
      </c>
      <c r="E545" t="s">
        <v>74</v>
      </c>
      <c r="F545" t="s">
        <v>7677</v>
      </c>
      <c r="G545" t="s">
        <v>74</v>
      </c>
      <c r="H545" t="s">
        <v>74</v>
      </c>
      <c r="I545" t="s">
        <v>7678</v>
      </c>
      <c r="J545" t="s">
        <v>6227</v>
      </c>
      <c r="K545" t="s">
        <v>74</v>
      </c>
      <c r="L545" t="s">
        <v>74</v>
      </c>
      <c r="M545" t="s">
        <v>78</v>
      </c>
      <c r="N545" t="s">
        <v>775</v>
      </c>
      <c r="O545" t="s">
        <v>74</v>
      </c>
      <c r="P545" t="s">
        <v>74</v>
      </c>
      <c r="Q545" t="s">
        <v>74</v>
      </c>
      <c r="R545" t="s">
        <v>74</v>
      </c>
      <c r="S545" t="s">
        <v>74</v>
      </c>
      <c r="T545" t="s">
        <v>7679</v>
      </c>
      <c r="U545" t="s">
        <v>7680</v>
      </c>
      <c r="V545" t="s">
        <v>7681</v>
      </c>
      <c r="W545" t="s">
        <v>7682</v>
      </c>
      <c r="X545" t="s">
        <v>7683</v>
      </c>
      <c r="Y545" t="s">
        <v>7684</v>
      </c>
      <c r="Z545" t="s">
        <v>7685</v>
      </c>
      <c r="AA545" t="s">
        <v>7686</v>
      </c>
      <c r="AB545" t="s">
        <v>7687</v>
      </c>
      <c r="AC545" t="s">
        <v>74</v>
      </c>
      <c r="AD545" t="s">
        <v>74</v>
      </c>
      <c r="AE545" t="s">
        <v>74</v>
      </c>
      <c r="AF545" t="s">
        <v>74</v>
      </c>
      <c r="AG545">
        <v>67</v>
      </c>
      <c r="AH545">
        <v>69</v>
      </c>
      <c r="AI545">
        <v>72</v>
      </c>
      <c r="AJ545">
        <v>0</v>
      </c>
      <c r="AK545">
        <v>9</v>
      </c>
      <c r="AL545" t="s">
        <v>806</v>
      </c>
      <c r="AM545" t="s">
        <v>807</v>
      </c>
      <c r="AN545" t="s">
        <v>808</v>
      </c>
      <c r="AO545" t="s">
        <v>6236</v>
      </c>
      <c r="AP545" t="s">
        <v>7688</v>
      </c>
      <c r="AQ545" t="s">
        <v>74</v>
      </c>
      <c r="AR545" t="s">
        <v>6237</v>
      </c>
      <c r="AS545" t="s">
        <v>6238</v>
      </c>
      <c r="AT545" t="s">
        <v>7090</v>
      </c>
      <c r="AU545">
        <v>2002</v>
      </c>
      <c r="AV545">
        <v>64</v>
      </c>
      <c r="AW545">
        <v>17</v>
      </c>
      <c r="AX545" t="s">
        <v>74</v>
      </c>
      <c r="AY545" t="s">
        <v>74</v>
      </c>
      <c r="AZ545" t="s">
        <v>74</v>
      </c>
      <c r="BA545" t="s">
        <v>74</v>
      </c>
      <c r="BB545">
        <v>1865</v>
      </c>
      <c r="BC545">
        <v>1896</v>
      </c>
      <c r="BD545" t="s">
        <v>7689</v>
      </c>
      <c r="BE545" t="s">
        <v>7690</v>
      </c>
      <c r="BF545" t="str">
        <f>HYPERLINK("http://dx.doi.org/10.1016/S1364-6826(02)00199-2","http://dx.doi.org/10.1016/S1364-6826(02)00199-2")</f>
        <v>http://dx.doi.org/10.1016/S1364-6826(02)00199-2</v>
      </c>
      <c r="BG545" t="s">
        <v>74</v>
      </c>
      <c r="BH545" t="s">
        <v>74</v>
      </c>
      <c r="BI545">
        <v>32</v>
      </c>
      <c r="BJ545" t="s">
        <v>841</v>
      </c>
      <c r="BK545" t="s">
        <v>569</v>
      </c>
      <c r="BL545" t="s">
        <v>841</v>
      </c>
      <c r="BM545" t="s">
        <v>7675</v>
      </c>
      <c r="BN545" t="s">
        <v>74</v>
      </c>
      <c r="BO545" t="s">
        <v>74</v>
      </c>
      <c r="BP545" t="s">
        <v>74</v>
      </c>
      <c r="BQ545" t="s">
        <v>74</v>
      </c>
      <c r="BR545" t="s">
        <v>98</v>
      </c>
      <c r="BS545" t="s">
        <v>7691</v>
      </c>
      <c r="BT545" t="str">
        <f>HYPERLINK("https%3A%2F%2Fwww.webofscience.com%2Fwos%2Fwoscc%2Ffull-record%2FWOS:000178516500007","View Full Record in Web of Science")</f>
        <v>View Full Record in Web of Science</v>
      </c>
    </row>
    <row r="546" spans="1:72" x14ac:dyDescent="0.15">
      <c r="A546" t="s">
        <v>552</v>
      </c>
      <c r="B546" t="s">
        <v>7692</v>
      </c>
      <c r="C546" t="s">
        <v>74</v>
      </c>
      <c r="D546" t="s">
        <v>74</v>
      </c>
      <c r="E546" t="s">
        <v>74</v>
      </c>
      <c r="F546" t="s">
        <v>7692</v>
      </c>
      <c r="G546" t="s">
        <v>74</v>
      </c>
      <c r="H546" t="s">
        <v>74</v>
      </c>
      <c r="I546" t="s">
        <v>7693</v>
      </c>
      <c r="J546" t="s">
        <v>2644</v>
      </c>
      <c r="K546" t="s">
        <v>74</v>
      </c>
      <c r="L546" t="s">
        <v>74</v>
      </c>
      <c r="M546" t="s">
        <v>78</v>
      </c>
      <c r="N546" t="s">
        <v>775</v>
      </c>
      <c r="O546" t="s">
        <v>74</v>
      </c>
      <c r="P546" t="s">
        <v>74</v>
      </c>
      <c r="Q546" t="s">
        <v>74</v>
      </c>
      <c r="R546" t="s">
        <v>74</v>
      </c>
      <c r="S546" t="s">
        <v>74</v>
      </c>
      <c r="T546" t="s">
        <v>74</v>
      </c>
      <c r="U546" t="s">
        <v>7694</v>
      </c>
      <c r="V546" t="s">
        <v>7695</v>
      </c>
      <c r="W546" t="s">
        <v>7696</v>
      </c>
      <c r="X546" t="s">
        <v>7697</v>
      </c>
      <c r="Y546" t="s">
        <v>7698</v>
      </c>
      <c r="Z546" t="s">
        <v>74</v>
      </c>
      <c r="AA546" t="s">
        <v>7699</v>
      </c>
      <c r="AB546" t="s">
        <v>7700</v>
      </c>
      <c r="AC546" t="s">
        <v>74</v>
      </c>
      <c r="AD546" t="s">
        <v>74</v>
      </c>
      <c r="AE546" t="s">
        <v>74</v>
      </c>
      <c r="AF546" t="s">
        <v>74</v>
      </c>
      <c r="AG546">
        <v>27</v>
      </c>
      <c r="AH546">
        <v>448</v>
      </c>
      <c r="AI546">
        <v>497</v>
      </c>
      <c r="AJ546">
        <v>1</v>
      </c>
      <c r="AK546">
        <v>72</v>
      </c>
      <c r="AL546" t="s">
        <v>2652</v>
      </c>
      <c r="AM546" t="s">
        <v>2653</v>
      </c>
      <c r="AN546" t="s">
        <v>2654</v>
      </c>
      <c r="AO546" t="s">
        <v>2655</v>
      </c>
      <c r="AP546" t="s">
        <v>74</v>
      </c>
      <c r="AQ546" t="s">
        <v>74</v>
      </c>
      <c r="AR546" t="s">
        <v>2656</v>
      </c>
      <c r="AS546" t="s">
        <v>2657</v>
      </c>
      <c r="AT546" t="s">
        <v>7090</v>
      </c>
      <c r="AU546">
        <v>2002</v>
      </c>
      <c r="AV546">
        <v>15</v>
      </c>
      <c r="AW546">
        <v>21</v>
      </c>
      <c r="AX546" t="s">
        <v>74</v>
      </c>
      <c r="AY546" t="s">
        <v>74</v>
      </c>
      <c r="AZ546" t="s">
        <v>74</v>
      </c>
      <c r="BA546" t="s">
        <v>74</v>
      </c>
      <c r="BB546">
        <v>3043</v>
      </c>
      <c r="BC546">
        <v>3057</v>
      </c>
      <c r="BD546" t="s">
        <v>74</v>
      </c>
      <c r="BE546" t="s">
        <v>7701</v>
      </c>
      <c r="BF546" t="str">
        <f>HYPERLINK("http://dx.doi.org/10.1175/1520-0442(2002)015&lt;3043:SVITSH&gt;2.0.CO;2","http://dx.doi.org/10.1175/1520-0442(2002)015&lt;3043:SVITSH&gt;2.0.CO;2")</f>
        <v>http://dx.doi.org/10.1175/1520-0442(2002)015&lt;3043:SVITSH&gt;2.0.CO;2</v>
      </c>
      <c r="BG546" t="s">
        <v>74</v>
      </c>
      <c r="BH546" t="s">
        <v>74</v>
      </c>
      <c r="BI546">
        <v>15</v>
      </c>
      <c r="BJ546" t="s">
        <v>1237</v>
      </c>
      <c r="BK546" t="s">
        <v>569</v>
      </c>
      <c r="BL546" t="s">
        <v>1237</v>
      </c>
      <c r="BM546" t="s">
        <v>7702</v>
      </c>
      <c r="BN546" t="s">
        <v>74</v>
      </c>
      <c r="BO546" t="s">
        <v>572</v>
      </c>
      <c r="BP546" t="s">
        <v>74</v>
      </c>
      <c r="BQ546" t="s">
        <v>74</v>
      </c>
      <c r="BR546" t="s">
        <v>98</v>
      </c>
      <c r="BS546" t="s">
        <v>7703</v>
      </c>
      <c r="BT546" t="str">
        <f>HYPERLINK("https%3A%2F%2Fwww.webofscience.com%2Fwos%2Fwoscc%2Ffull-record%2FWOS:000178601100005","View Full Record in Web of Science")</f>
        <v>View Full Record in Web of Science</v>
      </c>
    </row>
    <row r="547" spans="1:72" x14ac:dyDescent="0.15">
      <c r="A547" t="s">
        <v>552</v>
      </c>
      <c r="B547" t="s">
        <v>7704</v>
      </c>
      <c r="C547" t="s">
        <v>74</v>
      </c>
      <c r="D547" t="s">
        <v>74</v>
      </c>
      <c r="E547" t="s">
        <v>74</v>
      </c>
      <c r="F547" t="s">
        <v>7704</v>
      </c>
      <c r="G547" t="s">
        <v>74</v>
      </c>
      <c r="H547" t="s">
        <v>74</v>
      </c>
      <c r="I547" t="s">
        <v>7705</v>
      </c>
      <c r="J547" t="s">
        <v>2644</v>
      </c>
      <c r="K547" t="s">
        <v>74</v>
      </c>
      <c r="L547" t="s">
        <v>74</v>
      </c>
      <c r="M547" t="s">
        <v>78</v>
      </c>
      <c r="N547" t="s">
        <v>775</v>
      </c>
      <c r="O547" t="s">
        <v>74</v>
      </c>
      <c r="P547" t="s">
        <v>74</v>
      </c>
      <c r="Q547" t="s">
        <v>74</v>
      </c>
      <c r="R547" t="s">
        <v>74</v>
      </c>
      <c r="S547" t="s">
        <v>74</v>
      </c>
      <c r="T547" t="s">
        <v>74</v>
      </c>
      <c r="U547" t="s">
        <v>7706</v>
      </c>
      <c r="V547" t="s">
        <v>7707</v>
      </c>
      <c r="W547" t="s">
        <v>7708</v>
      </c>
      <c r="X547" t="s">
        <v>6893</v>
      </c>
      <c r="Y547" t="s">
        <v>7709</v>
      </c>
      <c r="Z547" t="s">
        <v>7710</v>
      </c>
      <c r="AA547" t="s">
        <v>74</v>
      </c>
      <c r="AB547" t="s">
        <v>7711</v>
      </c>
      <c r="AC547" t="s">
        <v>74</v>
      </c>
      <c r="AD547" t="s">
        <v>74</v>
      </c>
      <c r="AE547" t="s">
        <v>74</v>
      </c>
      <c r="AF547" t="s">
        <v>74</v>
      </c>
      <c r="AG547">
        <v>29</v>
      </c>
      <c r="AH547">
        <v>74</v>
      </c>
      <c r="AI547">
        <v>84</v>
      </c>
      <c r="AJ547">
        <v>0</v>
      </c>
      <c r="AK547">
        <v>14</v>
      </c>
      <c r="AL547" t="s">
        <v>2652</v>
      </c>
      <c r="AM547" t="s">
        <v>2653</v>
      </c>
      <c r="AN547" t="s">
        <v>2654</v>
      </c>
      <c r="AO547" t="s">
        <v>2655</v>
      </c>
      <c r="AP547" t="s">
        <v>2684</v>
      </c>
      <c r="AQ547" t="s">
        <v>74</v>
      </c>
      <c r="AR547" t="s">
        <v>2656</v>
      </c>
      <c r="AS547" t="s">
        <v>2657</v>
      </c>
      <c r="AT547" t="s">
        <v>7090</v>
      </c>
      <c r="AU547">
        <v>2002</v>
      </c>
      <c r="AV547">
        <v>15</v>
      </c>
      <c r="AW547">
        <v>21</v>
      </c>
      <c r="AX547" t="s">
        <v>74</v>
      </c>
      <c r="AY547" t="s">
        <v>74</v>
      </c>
      <c r="AZ547" t="s">
        <v>74</v>
      </c>
      <c r="BA547" t="s">
        <v>74</v>
      </c>
      <c r="BB547">
        <v>3058</v>
      </c>
      <c r="BC547">
        <v>3068</v>
      </c>
      <c r="BD547" t="s">
        <v>74</v>
      </c>
      <c r="BE547" t="s">
        <v>7712</v>
      </c>
      <c r="BF547" t="str">
        <f>HYPERLINK("http://dx.doi.org/10.1175/1520-0442(2002)015&lt;3058:SHCARW&gt;2.0.CO;2","http://dx.doi.org/10.1175/1520-0442(2002)015&lt;3058:SHCARW&gt;2.0.CO;2")</f>
        <v>http://dx.doi.org/10.1175/1520-0442(2002)015&lt;3058:SHCARW&gt;2.0.CO;2</v>
      </c>
      <c r="BG547" t="s">
        <v>74</v>
      </c>
      <c r="BH547" t="s">
        <v>74</v>
      </c>
      <c r="BI547">
        <v>11</v>
      </c>
      <c r="BJ547" t="s">
        <v>1237</v>
      </c>
      <c r="BK547" t="s">
        <v>569</v>
      </c>
      <c r="BL547" t="s">
        <v>1237</v>
      </c>
      <c r="BM547" t="s">
        <v>7702</v>
      </c>
      <c r="BN547" t="s">
        <v>74</v>
      </c>
      <c r="BO547" t="s">
        <v>2660</v>
      </c>
      <c r="BP547" t="s">
        <v>74</v>
      </c>
      <c r="BQ547" t="s">
        <v>74</v>
      </c>
      <c r="BR547" t="s">
        <v>98</v>
      </c>
      <c r="BS547" t="s">
        <v>7713</v>
      </c>
      <c r="BT547" t="str">
        <f>HYPERLINK("https%3A%2F%2Fwww.webofscience.com%2Fwos%2Fwoscc%2Ffull-record%2FWOS:000178601100006","View Full Record in Web of Science")</f>
        <v>View Full Record in Web of Science</v>
      </c>
    </row>
    <row r="548" spans="1:72" x14ac:dyDescent="0.15">
      <c r="A548" t="s">
        <v>552</v>
      </c>
      <c r="B548" t="s">
        <v>5413</v>
      </c>
      <c r="C548" t="s">
        <v>74</v>
      </c>
      <c r="D548" t="s">
        <v>74</v>
      </c>
      <c r="E548" t="s">
        <v>74</v>
      </c>
      <c r="F548" t="s">
        <v>5413</v>
      </c>
      <c r="G548" t="s">
        <v>74</v>
      </c>
      <c r="H548" t="s">
        <v>74</v>
      </c>
      <c r="I548" t="s">
        <v>7714</v>
      </c>
      <c r="J548" t="s">
        <v>2644</v>
      </c>
      <c r="K548" t="s">
        <v>74</v>
      </c>
      <c r="L548" t="s">
        <v>74</v>
      </c>
      <c r="M548" t="s">
        <v>78</v>
      </c>
      <c r="N548" t="s">
        <v>775</v>
      </c>
      <c r="O548" t="s">
        <v>74</v>
      </c>
      <c r="P548" t="s">
        <v>74</v>
      </c>
      <c r="Q548" t="s">
        <v>74</v>
      </c>
      <c r="R548" t="s">
        <v>74</v>
      </c>
      <c r="S548" t="s">
        <v>74</v>
      </c>
      <c r="T548" t="s">
        <v>74</v>
      </c>
      <c r="U548" t="s">
        <v>7715</v>
      </c>
      <c r="V548" t="s">
        <v>7716</v>
      </c>
      <c r="W548" t="s">
        <v>7717</v>
      </c>
      <c r="X548" t="s">
        <v>408</v>
      </c>
      <c r="Y548" t="s">
        <v>7718</v>
      </c>
      <c r="Z548" t="s">
        <v>7719</v>
      </c>
      <c r="AA548" t="s">
        <v>74</v>
      </c>
      <c r="AB548" t="s">
        <v>7720</v>
      </c>
      <c r="AC548" t="s">
        <v>74</v>
      </c>
      <c r="AD548" t="s">
        <v>74</v>
      </c>
      <c r="AE548" t="s">
        <v>74</v>
      </c>
      <c r="AF548" t="s">
        <v>74</v>
      </c>
      <c r="AG548">
        <v>83</v>
      </c>
      <c r="AH548">
        <v>166</v>
      </c>
      <c r="AI548">
        <v>191</v>
      </c>
      <c r="AJ548">
        <v>0</v>
      </c>
      <c r="AK548">
        <v>22</v>
      </c>
      <c r="AL548" t="s">
        <v>2652</v>
      </c>
      <c r="AM548" t="s">
        <v>2653</v>
      </c>
      <c r="AN548" t="s">
        <v>2654</v>
      </c>
      <c r="AO548" t="s">
        <v>2655</v>
      </c>
      <c r="AP548" t="s">
        <v>2684</v>
      </c>
      <c r="AQ548" t="s">
        <v>74</v>
      </c>
      <c r="AR548" t="s">
        <v>2656</v>
      </c>
      <c r="AS548" t="s">
        <v>2657</v>
      </c>
      <c r="AT548" t="s">
        <v>7090</v>
      </c>
      <c r="AU548">
        <v>2002</v>
      </c>
      <c r="AV548">
        <v>15</v>
      </c>
      <c r="AW548">
        <v>22</v>
      </c>
      <c r="AX548" t="s">
        <v>74</v>
      </c>
      <c r="AY548" t="s">
        <v>74</v>
      </c>
      <c r="AZ548" t="s">
        <v>74</v>
      </c>
      <c r="BA548" t="s">
        <v>74</v>
      </c>
      <c r="BB548">
        <v>3150</v>
      </c>
      <c r="BC548">
        <v>3169</v>
      </c>
      <c r="BD548" t="s">
        <v>74</v>
      </c>
      <c r="BE548" t="s">
        <v>7721</v>
      </c>
      <c r="BF548" t="str">
        <f>HYPERLINK("http://dx.doi.org/10.1175/1520-0442(2002)015&lt;3150:ABOOWA&gt;2.0.CO;2","http://dx.doi.org/10.1175/1520-0442(2002)015&lt;3150:ABOOWA&gt;2.0.CO;2")</f>
        <v>http://dx.doi.org/10.1175/1520-0442(2002)015&lt;3150:ABOOWA&gt;2.0.CO;2</v>
      </c>
      <c r="BG548" t="s">
        <v>74</v>
      </c>
      <c r="BH548" t="s">
        <v>74</v>
      </c>
      <c r="BI548">
        <v>20</v>
      </c>
      <c r="BJ548" t="s">
        <v>1237</v>
      </c>
      <c r="BK548" t="s">
        <v>569</v>
      </c>
      <c r="BL548" t="s">
        <v>1237</v>
      </c>
      <c r="BM548" t="s">
        <v>7722</v>
      </c>
      <c r="BN548" t="s">
        <v>74</v>
      </c>
      <c r="BO548" t="s">
        <v>2660</v>
      </c>
      <c r="BP548" t="s">
        <v>74</v>
      </c>
      <c r="BQ548" t="s">
        <v>74</v>
      </c>
      <c r="BR548" t="s">
        <v>98</v>
      </c>
      <c r="BS548" t="s">
        <v>7723</v>
      </c>
      <c r="BT548" t="str">
        <f>HYPERLINK("https%3A%2F%2Fwww.webofscience.com%2Fwos%2Fwoscc%2Ffull-record%2FWOS:000178884800003","View Full Record in Web of Science")</f>
        <v>View Full Record in Web of Science</v>
      </c>
    </row>
    <row r="549" spans="1:72" x14ac:dyDescent="0.15">
      <c r="A549" t="s">
        <v>552</v>
      </c>
      <c r="B549" t="s">
        <v>7724</v>
      </c>
      <c r="C549" t="s">
        <v>74</v>
      </c>
      <c r="D549" t="s">
        <v>74</v>
      </c>
      <c r="E549" t="s">
        <v>74</v>
      </c>
      <c r="F549" t="s">
        <v>7724</v>
      </c>
      <c r="G549" t="s">
        <v>74</v>
      </c>
      <c r="H549" t="s">
        <v>74</v>
      </c>
      <c r="I549" t="s">
        <v>7725</v>
      </c>
      <c r="J549" t="s">
        <v>5091</v>
      </c>
      <c r="K549" t="s">
        <v>74</v>
      </c>
      <c r="L549" t="s">
        <v>74</v>
      </c>
      <c r="M549" t="s">
        <v>78</v>
      </c>
      <c r="N549" t="s">
        <v>775</v>
      </c>
      <c r="O549" t="s">
        <v>74</v>
      </c>
      <c r="P549" t="s">
        <v>74</v>
      </c>
      <c r="Q549" t="s">
        <v>74</v>
      </c>
      <c r="R549" t="s">
        <v>74</v>
      </c>
      <c r="S549" t="s">
        <v>74</v>
      </c>
      <c r="T549" t="s">
        <v>7726</v>
      </c>
      <c r="U549" t="s">
        <v>7727</v>
      </c>
      <c r="V549" t="s">
        <v>7728</v>
      </c>
      <c r="W549" t="s">
        <v>7729</v>
      </c>
      <c r="X549" t="s">
        <v>7730</v>
      </c>
      <c r="Y549" t="s">
        <v>7731</v>
      </c>
      <c r="Z549" t="s">
        <v>7732</v>
      </c>
      <c r="AA549" t="s">
        <v>7733</v>
      </c>
      <c r="AB549" t="s">
        <v>7734</v>
      </c>
      <c r="AC549" t="s">
        <v>74</v>
      </c>
      <c r="AD549" t="s">
        <v>74</v>
      </c>
      <c r="AE549" t="s">
        <v>74</v>
      </c>
      <c r="AF549" t="s">
        <v>74</v>
      </c>
      <c r="AG549">
        <v>50</v>
      </c>
      <c r="AH549">
        <v>17</v>
      </c>
      <c r="AI549">
        <v>17</v>
      </c>
      <c r="AJ549">
        <v>0</v>
      </c>
      <c r="AK549">
        <v>4</v>
      </c>
      <c r="AL549" t="s">
        <v>387</v>
      </c>
      <c r="AM549" t="s">
        <v>388</v>
      </c>
      <c r="AN549" t="s">
        <v>389</v>
      </c>
      <c r="AO549" t="s">
        <v>5101</v>
      </c>
      <c r="AP549" t="s">
        <v>74</v>
      </c>
      <c r="AQ549" t="s">
        <v>74</v>
      </c>
      <c r="AR549" t="s">
        <v>5102</v>
      </c>
      <c r="AS549" t="s">
        <v>5103</v>
      </c>
      <c r="AT549" t="s">
        <v>7090</v>
      </c>
      <c r="AU549">
        <v>2002</v>
      </c>
      <c r="AV549">
        <v>108</v>
      </c>
      <c r="AW549" t="s">
        <v>5271</v>
      </c>
      <c r="AX549" t="s">
        <v>74</v>
      </c>
      <c r="AY549" t="s">
        <v>74</v>
      </c>
      <c r="AZ549" t="s">
        <v>74</v>
      </c>
      <c r="BA549" t="s">
        <v>74</v>
      </c>
      <c r="BB549" t="s">
        <v>74</v>
      </c>
      <c r="BC549" t="s">
        <v>74</v>
      </c>
      <c r="BD549">
        <v>8306</v>
      </c>
      <c r="BE549" t="s">
        <v>7735</v>
      </c>
      <c r="BF549" t="str">
        <f>HYPERLINK("http://dx.doi.org/10.1029/2001JD000879","http://dx.doi.org/10.1029/2001JD000879")</f>
        <v>http://dx.doi.org/10.1029/2001JD000879</v>
      </c>
      <c r="BG549" t="s">
        <v>74</v>
      </c>
      <c r="BH549" t="s">
        <v>74</v>
      </c>
      <c r="BI549">
        <v>19</v>
      </c>
      <c r="BJ549" t="s">
        <v>1237</v>
      </c>
      <c r="BK549" t="s">
        <v>569</v>
      </c>
      <c r="BL549" t="s">
        <v>1237</v>
      </c>
      <c r="BM549" t="s">
        <v>7736</v>
      </c>
      <c r="BN549" t="s">
        <v>74</v>
      </c>
      <c r="BO549" t="s">
        <v>572</v>
      </c>
      <c r="BP549" t="s">
        <v>74</v>
      </c>
      <c r="BQ549" t="s">
        <v>74</v>
      </c>
      <c r="BR549" t="s">
        <v>98</v>
      </c>
      <c r="BS549" t="s">
        <v>7737</v>
      </c>
      <c r="BT549" t="str">
        <f>HYPERLINK("https%3A%2F%2Fwww.webofscience.com%2Fwos%2Fwoscc%2Ffull-record%2FWOS:000180870100007","View Full Record in Web of Science")</f>
        <v>View Full Record in Web of Science</v>
      </c>
    </row>
    <row r="550" spans="1:72" x14ac:dyDescent="0.15">
      <c r="A550" t="s">
        <v>552</v>
      </c>
      <c r="B550" t="s">
        <v>7303</v>
      </c>
      <c r="C550" t="s">
        <v>74</v>
      </c>
      <c r="D550" t="s">
        <v>74</v>
      </c>
      <c r="E550" t="s">
        <v>74</v>
      </c>
      <c r="F550" t="s">
        <v>7303</v>
      </c>
      <c r="G550" t="s">
        <v>74</v>
      </c>
      <c r="H550" t="s">
        <v>74</v>
      </c>
      <c r="I550" t="s">
        <v>7738</v>
      </c>
      <c r="J550" t="s">
        <v>5091</v>
      </c>
      <c r="K550" t="s">
        <v>74</v>
      </c>
      <c r="L550" t="s">
        <v>74</v>
      </c>
      <c r="M550" t="s">
        <v>78</v>
      </c>
      <c r="N550" t="s">
        <v>775</v>
      </c>
      <c r="O550" t="s">
        <v>74</v>
      </c>
      <c r="P550" t="s">
        <v>74</v>
      </c>
      <c r="Q550" t="s">
        <v>74</v>
      </c>
      <c r="R550" t="s">
        <v>74</v>
      </c>
      <c r="S550" t="s">
        <v>74</v>
      </c>
      <c r="T550" t="s">
        <v>7739</v>
      </c>
      <c r="U550" t="s">
        <v>7740</v>
      </c>
      <c r="V550" t="s">
        <v>7741</v>
      </c>
      <c r="W550" t="s">
        <v>7742</v>
      </c>
      <c r="X550" t="s">
        <v>7310</v>
      </c>
      <c r="Y550" t="s">
        <v>7743</v>
      </c>
      <c r="Z550" t="s">
        <v>7744</v>
      </c>
      <c r="AA550" t="s">
        <v>74</v>
      </c>
      <c r="AB550" t="s">
        <v>74</v>
      </c>
      <c r="AC550" t="s">
        <v>74</v>
      </c>
      <c r="AD550" t="s">
        <v>74</v>
      </c>
      <c r="AE550" t="s">
        <v>74</v>
      </c>
      <c r="AF550" t="s">
        <v>74</v>
      </c>
      <c r="AG550">
        <v>22</v>
      </c>
      <c r="AH550">
        <v>6</v>
      </c>
      <c r="AI550">
        <v>7</v>
      </c>
      <c r="AJ550">
        <v>0</v>
      </c>
      <c r="AK550">
        <v>1</v>
      </c>
      <c r="AL550" t="s">
        <v>387</v>
      </c>
      <c r="AM550" t="s">
        <v>388</v>
      </c>
      <c r="AN550" t="s">
        <v>389</v>
      </c>
      <c r="AO550" t="s">
        <v>5101</v>
      </c>
      <c r="AP550" t="s">
        <v>5188</v>
      </c>
      <c r="AQ550" t="s">
        <v>74</v>
      </c>
      <c r="AR550" t="s">
        <v>5102</v>
      </c>
      <c r="AS550" t="s">
        <v>5103</v>
      </c>
      <c r="AT550" t="s">
        <v>7090</v>
      </c>
      <c r="AU550">
        <v>2002</v>
      </c>
      <c r="AV550">
        <v>107</v>
      </c>
      <c r="AW550" t="s">
        <v>7745</v>
      </c>
      <c r="AX550" t="s">
        <v>74</v>
      </c>
      <c r="AY550" t="s">
        <v>74</v>
      </c>
      <c r="AZ550" t="s">
        <v>74</v>
      </c>
      <c r="BA550" t="s">
        <v>74</v>
      </c>
      <c r="BB550" t="s">
        <v>74</v>
      </c>
      <c r="BC550" t="s">
        <v>74</v>
      </c>
      <c r="BD550">
        <v>4598</v>
      </c>
      <c r="BE550" t="s">
        <v>7746</v>
      </c>
      <c r="BF550" t="str">
        <f>HYPERLINK("http://dx.doi.org/10.1029/2002JD002118","http://dx.doi.org/10.1029/2002JD002118")</f>
        <v>http://dx.doi.org/10.1029/2002JD002118</v>
      </c>
      <c r="BG550" t="s">
        <v>74</v>
      </c>
      <c r="BH550" t="s">
        <v>74</v>
      </c>
      <c r="BI550">
        <v>9</v>
      </c>
      <c r="BJ550" t="s">
        <v>1237</v>
      </c>
      <c r="BK550" t="s">
        <v>569</v>
      </c>
      <c r="BL550" t="s">
        <v>1237</v>
      </c>
      <c r="BM550" t="s">
        <v>7747</v>
      </c>
      <c r="BN550" t="s">
        <v>74</v>
      </c>
      <c r="BO550" t="s">
        <v>572</v>
      </c>
      <c r="BP550" t="s">
        <v>74</v>
      </c>
      <c r="BQ550" t="s">
        <v>74</v>
      </c>
      <c r="BR550" t="s">
        <v>98</v>
      </c>
      <c r="BS550" t="s">
        <v>7748</v>
      </c>
      <c r="BT550" t="str">
        <f>HYPERLINK("https%3A%2F%2Fwww.webofscience.com%2Fwos%2Fwoscc%2Ffull-record%2FWOS:000180860300049","View Full Record in Web of Science")</f>
        <v>View Full Record in Web of Science</v>
      </c>
    </row>
    <row r="551" spans="1:72" x14ac:dyDescent="0.15">
      <c r="A551" t="s">
        <v>552</v>
      </c>
      <c r="B551" t="s">
        <v>7749</v>
      </c>
      <c r="C551" t="s">
        <v>74</v>
      </c>
      <c r="D551" t="s">
        <v>74</v>
      </c>
      <c r="E551" t="s">
        <v>74</v>
      </c>
      <c r="F551" t="s">
        <v>7749</v>
      </c>
      <c r="G551" t="s">
        <v>74</v>
      </c>
      <c r="H551" t="s">
        <v>74</v>
      </c>
      <c r="I551" t="s">
        <v>7750</v>
      </c>
      <c r="J551" t="s">
        <v>5091</v>
      </c>
      <c r="K551" t="s">
        <v>74</v>
      </c>
      <c r="L551" t="s">
        <v>74</v>
      </c>
      <c r="M551" t="s">
        <v>78</v>
      </c>
      <c r="N551" t="s">
        <v>775</v>
      </c>
      <c r="O551" t="s">
        <v>74</v>
      </c>
      <c r="P551" t="s">
        <v>74</v>
      </c>
      <c r="Q551" t="s">
        <v>74</v>
      </c>
      <c r="R551" t="s">
        <v>74</v>
      </c>
      <c r="S551" t="s">
        <v>74</v>
      </c>
      <c r="T551" t="s">
        <v>7751</v>
      </c>
      <c r="U551" t="s">
        <v>7752</v>
      </c>
      <c r="V551" t="s">
        <v>7753</v>
      </c>
      <c r="W551" t="s">
        <v>7754</v>
      </c>
      <c r="X551" t="s">
        <v>1900</v>
      </c>
      <c r="Y551" t="s">
        <v>7755</v>
      </c>
      <c r="Z551" t="s">
        <v>7756</v>
      </c>
      <c r="AA551" t="s">
        <v>7757</v>
      </c>
      <c r="AB551" t="s">
        <v>74</v>
      </c>
      <c r="AC551" t="s">
        <v>74</v>
      </c>
      <c r="AD551" t="s">
        <v>74</v>
      </c>
      <c r="AE551" t="s">
        <v>74</v>
      </c>
      <c r="AF551" t="s">
        <v>74</v>
      </c>
      <c r="AG551">
        <v>25</v>
      </c>
      <c r="AH551">
        <v>83</v>
      </c>
      <c r="AI551">
        <v>90</v>
      </c>
      <c r="AJ551">
        <v>1</v>
      </c>
      <c r="AK551">
        <v>21</v>
      </c>
      <c r="AL551" t="s">
        <v>387</v>
      </c>
      <c r="AM551" t="s">
        <v>388</v>
      </c>
      <c r="AN551" t="s">
        <v>389</v>
      </c>
      <c r="AO551" t="s">
        <v>5101</v>
      </c>
      <c r="AP551" t="s">
        <v>74</v>
      </c>
      <c r="AQ551" t="s">
        <v>74</v>
      </c>
      <c r="AR551" t="s">
        <v>5102</v>
      </c>
      <c r="AS551" t="s">
        <v>5103</v>
      </c>
      <c r="AT551" t="s">
        <v>7090</v>
      </c>
      <c r="AU551">
        <v>2002</v>
      </c>
      <c r="AV551">
        <v>107</v>
      </c>
      <c r="AW551" t="s">
        <v>7758</v>
      </c>
      <c r="AX551" t="s">
        <v>74</v>
      </c>
      <c r="AY551" t="s">
        <v>74</v>
      </c>
      <c r="AZ551" t="s">
        <v>74</v>
      </c>
      <c r="BA551" t="s">
        <v>74</v>
      </c>
      <c r="BB551" t="s">
        <v>74</v>
      </c>
      <c r="BC551" t="s">
        <v>74</v>
      </c>
      <c r="BD551">
        <v>4645</v>
      </c>
      <c r="BE551" t="s">
        <v>7759</v>
      </c>
      <c r="BF551" t="str">
        <f>HYPERLINK("http://dx.doi.org/10.1029/2002JD002471","http://dx.doi.org/10.1029/2002JD002471")</f>
        <v>http://dx.doi.org/10.1029/2002JD002471</v>
      </c>
      <c r="BG551" t="s">
        <v>74</v>
      </c>
      <c r="BH551" t="s">
        <v>74</v>
      </c>
      <c r="BI551">
        <v>13</v>
      </c>
      <c r="BJ551" t="s">
        <v>1237</v>
      </c>
      <c r="BK551" t="s">
        <v>569</v>
      </c>
      <c r="BL551" t="s">
        <v>1237</v>
      </c>
      <c r="BM551" t="s">
        <v>7760</v>
      </c>
      <c r="BN551" t="s">
        <v>74</v>
      </c>
      <c r="BO551" t="s">
        <v>74</v>
      </c>
      <c r="BP551" t="s">
        <v>74</v>
      </c>
      <c r="BQ551" t="s">
        <v>74</v>
      </c>
      <c r="BR551" t="s">
        <v>98</v>
      </c>
      <c r="BS551" t="s">
        <v>7761</v>
      </c>
      <c r="BT551" t="str">
        <f>HYPERLINK("https%3A%2F%2Fwww.webofscience.com%2Fwos%2Fwoscc%2Ffull-record%2FWOS:000180867500045","View Full Record in Web of Science")</f>
        <v>View Full Record in Web of Science</v>
      </c>
    </row>
    <row r="552" spans="1:72" x14ac:dyDescent="0.15">
      <c r="A552" t="s">
        <v>552</v>
      </c>
      <c r="B552" t="s">
        <v>7762</v>
      </c>
      <c r="C552" t="s">
        <v>74</v>
      </c>
      <c r="D552" t="s">
        <v>74</v>
      </c>
      <c r="E552" t="s">
        <v>74</v>
      </c>
      <c r="F552" t="s">
        <v>7762</v>
      </c>
      <c r="G552" t="s">
        <v>74</v>
      </c>
      <c r="H552" t="s">
        <v>74</v>
      </c>
      <c r="I552" t="s">
        <v>7763</v>
      </c>
      <c r="J552" t="s">
        <v>5091</v>
      </c>
      <c r="K552" t="s">
        <v>74</v>
      </c>
      <c r="L552" t="s">
        <v>74</v>
      </c>
      <c r="M552" t="s">
        <v>78</v>
      </c>
      <c r="N552" t="s">
        <v>775</v>
      </c>
      <c r="O552" t="s">
        <v>74</v>
      </c>
      <c r="P552" t="s">
        <v>74</v>
      </c>
      <c r="Q552" t="s">
        <v>74</v>
      </c>
      <c r="R552" t="s">
        <v>74</v>
      </c>
      <c r="S552" t="s">
        <v>74</v>
      </c>
      <c r="T552" t="s">
        <v>74</v>
      </c>
      <c r="U552" t="s">
        <v>7764</v>
      </c>
      <c r="V552" t="s">
        <v>7765</v>
      </c>
      <c r="W552" t="s">
        <v>7766</v>
      </c>
      <c r="X552" t="s">
        <v>7767</v>
      </c>
      <c r="Y552" t="s">
        <v>74</v>
      </c>
      <c r="Z552" t="s">
        <v>7768</v>
      </c>
      <c r="AA552" t="s">
        <v>7769</v>
      </c>
      <c r="AB552" t="s">
        <v>7770</v>
      </c>
      <c r="AC552" t="s">
        <v>74</v>
      </c>
      <c r="AD552" t="s">
        <v>74</v>
      </c>
      <c r="AE552" t="s">
        <v>74</v>
      </c>
      <c r="AF552" t="s">
        <v>74</v>
      </c>
      <c r="AG552">
        <v>53</v>
      </c>
      <c r="AH552">
        <v>39</v>
      </c>
      <c r="AI552">
        <v>42</v>
      </c>
      <c r="AJ552">
        <v>0</v>
      </c>
      <c r="AK552">
        <v>15</v>
      </c>
      <c r="AL552" t="s">
        <v>387</v>
      </c>
      <c r="AM552" t="s">
        <v>388</v>
      </c>
      <c r="AN552" t="s">
        <v>389</v>
      </c>
      <c r="AO552" t="s">
        <v>5101</v>
      </c>
      <c r="AP552" t="s">
        <v>5188</v>
      </c>
      <c r="AQ552" t="s">
        <v>74</v>
      </c>
      <c r="AR552" t="s">
        <v>5102</v>
      </c>
      <c r="AS552" t="s">
        <v>5103</v>
      </c>
      <c r="AT552" t="s">
        <v>7090</v>
      </c>
      <c r="AU552">
        <v>2002</v>
      </c>
      <c r="AV552">
        <v>107</v>
      </c>
      <c r="AW552" t="s">
        <v>7758</v>
      </c>
      <c r="AX552" t="s">
        <v>74</v>
      </c>
      <c r="AY552" t="s">
        <v>74</v>
      </c>
      <c r="AZ552" t="s">
        <v>74</v>
      </c>
      <c r="BA552" t="s">
        <v>74</v>
      </c>
      <c r="BB552" t="s">
        <v>74</v>
      </c>
      <c r="BC552" t="s">
        <v>74</v>
      </c>
      <c r="BD552">
        <v>4608</v>
      </c>
      <c r="BE552" t="s">
        <v>7771</v>
      </c>
      <c r="BF552" t="str">
        <f>HYPERLINK("http://dx.doi.org/10.1029/2002JD002104","http://dx.doi.org/10.1029/2002JD002104")</f>
        <v>http://dx.doi.org/10.1029/2002JD002104</v>
      </c>
      <c r="BG552" t="s">
        <v>74</v>
      </c>
      <c r="BH552" t="s">
        <v>74</v>
      </c>
      <c r="BI552">
        <v>9</v>
      </c>
      <c r="BJ552" t="s">
        <v>1237</v>
      </c>
      <c r="BK552" t="s">
        <v>569</v>
      </c>
      <c r="BL552" t="s">
        <v>1237</v>
      </c>
      <c r="BM552" t="s">
        <v>7760</v>
      </c>
      <c r="BN552" t="s">
        <v>74</v>
      </c>
      <c r="BO552" t="s">
        <v>3298</v>
      </c>
      <c r="BP552" t="s">
        <v>74</v>
      </c>
      <c r="BQ552" t="s">
        <v>74</v>
      </c>
      <c r="BR552" t="s">
        <v>98</v>
      </c>
      <c r="BS552" t="s">
        <v>7772</v>
      </c>
      <c r="BT552" t="str">
        <f>HYPERLINK("https%3A%2F%2Fwww.webofscience.com%2Fwos%2Fwoscc%2Ffull-record%2FWOS:000180867500006","View Full Record in Web of Science")</f>
        <v>View Full Record in Web of Science</v>
      </c>
    </row>
    <row r="553" spans="1:72" x14ac:dyDescent="0.15">
      <c r="A553" t="s">
        <v>552</v>
      </c>
      <c r="B553" t="s">
        <v>7773</v>
      </c>
      <c r="C553" t="s">
        <v>74</v>
      </c>
      <c r="D553" t="s">
        <v>74</v>
      </c>
      <c r="E553" t="s">
        <v>74</v>
      </c>
      <c r="F553" t="s">
        <v>7773</v>
      </c>
      <c r="G553" t="s">
        <v>74</v>
      </c>
      <c r="H553" t="s">
        <v>74</v>
      </c>
      <c r="I553" t="s">
        <v>7774</v>
      </c>
      <c r="J553" t="s">
        <v>5091</v>
      </c>
      <c r="K553" t="s">
        <v>74</v>
      </c>
      <c r="L553" t="s">
        <v>74</v>
      </c>
      <c r="M553" t="s">
        <v>78</v>
      </c>
      <c r="N553" t="s">
        <v>775</v>
      </c>
      <c r="O553" t="s">
        <v>74</v>
      </c>
      <c r="P553" t="s">
        <v>74</v>
      </c>
      <c r="Q553" t="s">
        <v>74</v>
      </c>
      <c r="R553" t="s">
        <v>74</v>
      </c>
      <c r="S553" t="s">
        <v>74</v>
      </c>
      <c r="T553" t="s">
        <v>74</v>
      </c>
      <c r="U553" t="s">
        <v>7775</v>
      </c>
      <c r="V553" t="s">
        <v>7776</v>
      </c>
      <c r="W553" t="s">
        <v>7777</v>
      </c>
      <c r="X553" t="s">
        <v>7778</v>
      </c>
      <c r="Y553" t="s">
        <v>7779</v>
      </c>
      <c r="Z553" t="s">
        <v>7780</v>
      </c>
      <c r="AA553" t="s">
        <v>74</v>
      </c>
      <c r="AB553" t="s">
        <v>74</v>
      </c>
      <c r="AC553" t="s">
        <v>74</v>
      </c>
      <c r="AD553" t="s">
        <v>74</v>
      </c>
      <c r="AE553" t="s">
        <v>74</v>
      </c>
      <c r="AF553" t="s">
        <v>74</v>
      </c>
      <c r="AG553">
        <v>58</v>
      </c>
      <c r="AH553">
        <v>4</v>
      </c>
      <c r="AI553">
        <v>4</v>
      </c>
      <c r="AJ553">
        <v>0</v>
      </c>
      <c r="AK553">
        <v>0</v>
      </c>
      <c r="AL553" t="s">
        <v>387</v>
      </c>
      <c r="AM553" t="s">
        <v>388</v>
      </c>
      <c r="AN553" t="s">
        <v>389</v>
      </c>
      <c r="AO553" t="s">
        <v>5101</v>
      </c>
      <c r="AP553" t="s">
        <v>5188</v>
      </c>
      <c r="AQ553" t="s">
        <v>74</v>
      </c>
      <c r="AR553" t="s">
        <v>5102</v>
      </c>
      <c r="AS553" t="s">
        <v>5103</v>
      </c>
      <c r="AT553" t="s">
        <v>7090</v>
      </c>
      <c r="AU553">
        <v>2002</v>
      </c>
      <c r="AV553">
        <v>107</v>
      </c>
      <c r="AW553" t="s">
        <v>7758</v>
      </c>
      <c r="AX553" t="s">
        <v>74</v>
      </c>
      <c r="AY553" t="s">
        <v>74</v>
      </c>
      <c r="AZ553" t="s">
        <v>74</v>
      </c>
      <c r="BA553" t="s">
        <v>74</v>
      </c>
      <c r="BB553" t="s">
        <v>74</v>
      </c>
      <c r="BC553" t="s">
        <v>74</v>
      </c>
      <c r="BD553">
        <v>4618</v>
      </c>
      <c r="BE553" t="s">
        <v>7781</v>
      </c>
      <c r="BF553" t="str">
        <f>HYPERLINK("http://dx.doi.org/10.1029/2001JD001261","http://dx.doi.org/10.1029/2001JD001261")</f>
        <v>http://dx.doi.org/10.1029/2001JD001261</v>
      </c>
      <c r="BG553" t="s">
        <v>74</v>
      </c>
      <c r="BH553" t="s">
        <v>74</v>
      </c>
      <c r="BI553">
        <v>15</v>
      </c>
      <c r="BJ553" t="s">
        <v>1237</v>
      </c>
      <c r="BK553" t="s">
        <v>569</v>
      </c>
      <c r="BL553" t="s">
        <v>1237</v>
      </c>
      <c r="BM553" t="s">
        <v>7760</v>
      </c>
      <c r="BN553" t="s">
        <v>74</v>
      </c>
      <c r="BO553" t="s">
        <v>572</v>
      </c>
      <c r="BP553" t="s">
        <v>74</v>
      </c>
      <c r="BQ553" t="s">
        <v>74</v>
      </c>
      <c r="BR553" t="s">
        <v>98</v>
      </c>
      <c r="BS553" t="s">
        <v>7782</v>
      </c>
      <c r="BT553" t="str">
        <f>HYPERLINK("https%3A%2F%2Fwww.webofscience.com%2Fwos%2Fwoscc%2Ffull-record%2FWOS:000180867500016","View Full Record in Web of Science")</f>
        <v>View Full Record in Web of Science</v>
      </c>
    </row>
    <row r="554" spans="1:72" x14ac:dyDescent="0.15">
      <c r="A554" t="s">
        <v>552</v>
      </c>
      <c r="B554" t="s">
        <v>7783</v>
      </c>
      <c r="C554" t="s">
        <v>74</v>
      </c>
      <c r="D554" t="s">
        <v>74</v>
      </c>
      <c r="E554" t="s">
        <v>74</v>
      </c>
      <c r="F554" t="s">
        <v>7783</v>
      </c>
      <c r="G554" t="s">
        <v>74</v>
      </c>
      <c r="H554" t="s">
        <v>74</v>
      </c>
      <c r="I554" t="s">
        <v>7784</v>
      </c>
      <c r="J554" t="s">
        <v>5091</v>
      </c>
      <c r="K554" t="s">
        <v>74</v>
      </c>
      <c r="L554" t="s">
        <v>74</v>
      </c>
      <c r="M554" t="s">
        <v>78</v>
      </c>
      <c r="N554" t="s">
        <v>775</v>
      </c>
      <c r="O554" t="s">
        <v>74</v>
      </c>
      <c r="P554" t="s">
        <v>74</v>
      </c>
      <c r="Q554" t="s">
        <v>74</v>
      </c>
      <c r="R554" t="s">
        <v>74</v>
      </c>
      <c r="S554" t="s">
        <v>74</v>
      </c>
      <c r="T554" t="s">
        <v>7785</v>
      </c>
      <c r="U554" t="s">
        <v>7786</v>
      </c>
      <c r="V554" t="s">
        <v>7787</v>
      </c>
      <c r="W554" t="s">
        <v>7788</v>
      </c>
      <c r="X554" t="s">
        <v>7789</v>
      </c>
      <c r="Y554" t="s">
        <v>7790</v>
      </c>
      <c r="Z554" t="s">
        <v>7791</v>
      </c>
      <c r="AA554" t="s">
        <v>7792</v>
      </c>
      <c r="AB554" t="s">
        <v>74</v>
      </c>
      <c r="AC554" t="s">
        <v>74</v>
      </c>
      <c r="AD554" t="s">
        <v>74</v>
      </c>
      <c r="AE554" t="s">
        <v>74</v>
      </c>
      <c r="AF554" t="s">
        <v>74</v>
      </c>
      <c r="AG554">
        <v>47</v>
      </c>
      <c r="AH554">
        <v>17</v>
      </c>
      <c r="AI554">
        <v>18</v>
      </c>
      <c r="AJ554">
        <v>5</v>
      </c>
      <c r="AK554">
        <v>14</v>
      </c>
      <c r="AL554" t="s">
        <v>387</v>
      </c>
      <c r="AM554" t="s">
        <v>388</v>
      </c>
      <c r="AN554" t="s">
        <v>389</v>
      </c>
      <c r="AO554" t="s">
        <v>5101</v>
      </c>
      <c r="AP554" t="s">
        <v>5188</v>
      </c>
      <c r="AQ554" t="s">
        <v>74</v>
      </c>
      <c r="AR554" t="s">
        <v>5102</v>
      </c>
      <c r="AS554" t="s">
        <v>5103</v>
      </c>
      <c r="AT554" t="s">
        <v>7090</v>
      </c>
      <c r="AU554">
        <v>2002</v>
      </c>
      <c r="AV554">
        <v>107</v>
      </c>
      <c r="AW554" t="s">
        <v>7758</v>
      </c>
      <c r="AX554" t="s">
        <v>74</v>
      </c>
      <c r="AY554" t="s">
        <v>74</v>
      </c>
      <c r="AZ554" t="s">
        <v>74</v>
      </c>
      <c r="BA554" t="s">
        <v>74</v>
      </c>
      <c r="BB554" t="s">
        <v>74</v>
      </c>
      <c r="BC554" t="s">
        <v>74</v>
      </c>
      <c r="BD554">
        <v>4617</v>
      </c>
      <c r="BE554" t="s">
        <v>7793</v>
      </c>
      <c r="BF554" t="str">
        <f>HYPERLINK("http://dx.doi.org/10.1029/2002JD002114","http://dx.doi.org/10.1029/2002JD002114")</f>
        <v>http://dx.doi.org/10.1029/2002JD002114</v>
      </c>
      <c r="BG554" t="s">
        <v>74</v>
      </c>
      <c r="BH554" t="s">
        <v>74</v>
      </c>
      <c r="BI554">
        <v>10</v>
      </c>
      <c r="BJ554" t="s">
        <v>1237</v>
      </c>
      <c r="BK554" t="s">
        <v>569</v>
      </c>
      <c r="BL554" t="s">
        <v>1237</v>
      </c>
      <c r="BM554" t="s">
        <v>7760</v>
      </c>
      <c r="BN554" t="s">
        <v>74</v>
      </c>
      <c r="BO554" t="s">
        <v>572</v>
      </c>
      <c r="BP554" t="s">
        <v>74</v>
      </c>
      <c r="BQ554" t="s">
        <v>74</v>
      </c>
      <c r="BR554" t="s">
        <v>98</v>
      </c>
      <c r="BS554" t="s">
        <v>7794</v>
      </c>
      <c r="BT554" t="str">
        <f>HYPERLINK("https%3A%2F%2Fwww.webofscience.com%2Fwos%2Fwoscc%2Ffull-record%2FWOS:000180867500015","View Full Record in Web of Science")</f>
        <v>View Full Record in Web of Science</v>
      </c>
    </row>
    <row r="555" spans="1:72" x14ac:dyDescent="0.15">
      <c r="A555" t="s">
        <v>552</v>
      </c>
      <c r="B555" t="s">
        <v>7795</v>
      </c>
      <c r="C555" t="s">
        <v>74</v>
      </c>
      <c r="D555" t="s">
        <v>74</v>
      </c>
      <c r="E555" t="s">
        <v>74</v>
      </c>
      <c r="F555" t="s">
        <v>7795</v>
      </c>
      <c r="G555" t="s">
        <v>74</v>
      </c>
      <c r="H555" t="s">
        <v>74</v>
      </c>
      <c r="I555" t="s">
        <v>7796</v>
      </c>
      <c r="J555" t="s">
        <v>5111</v>
      </c>
      <c r="K555" t="s">
        <v>74</v>
      </c>
      <c r="L555" t="s">
        <v>74</v>
      </c>
      <c r="M555" t="s">
        <v>78</v>
      </c>
      <c r="N555" t="s">
        <v>775</v>
      </c>
      <c r="O555" t="s">
        <v>74</v>
      </c>
      <c r="P555" t="s">
        <v>74</v>
      </c>
      <c r="Q555" t="s">
        <v>74</v>
      </c>
      <c r="R555" t="s">
        <v>74</v>
      </c>
      <c r="S555" t="s">
        <v>74</v>
      </c>
      <c r="T555" t="s">
        <v>74</v>
      </c>
      <c r="U555" t="s">
        <v>7797</v>
      </c>
      <c r="V555" t="s">
        <v>7798</v>
      </c>
      <c r="W555" t="s">
        <v>7799</v>
      </c>
      <c r="X555" t="s">
        <v>7800</v>
      </c>
      <c r="Y555" t="s">
        <v>7801</v>
      </c>
      <c r="Z555" t="s">
        <v>7802</v>
      </c>
      <c r="AA555" t="s">
        <v>7803</v>
      </c>
      <c r="AB555" t="s">
        <v>74</v>
      </c>
      <c r="AC555" t="s">
        <v>74</v>
      </c>
      <c r="AD555" t="s">
        <v>74</v>
      </c>
      <c r="AE555" t="s">
        <v>74</v>
      </c>
      <c r="AF555" t="s">
        <v>74</v>
      </c>
      <c r="AG555">
        <v>47</v>
      </c>
      <c r="AH555">
        <v>45</v>
      </c>
      <c r="AI555">
        <v>51</v>
      </c>
      <c r="AJ555">
        <v>0</v>
      </c>
      <c r="AK555">
        <v>12</v>
      </c>
      <c r="AL555" t="s">
        <v>387</v>
      </c>
      <c r="AM555" t="s">
        <v>388</v>
      </c>
      <c r="AN555" t="s">
        <v>389</v>
      </c>
      <c r="AO555" t="s">
        <v>5120</v>
      </c>
      <c r="AP555" t="s">
        <v>5121</v>
      </c>
      <c r="AQ555" t="s">
        <v>74</v>
      </c>
      <c r="AR555" t="s">
        <v>5122</v>
      </c>
      <c r="AS555" t="s">
        <v>5123</v>
      </c>
      <c r="AT555" t="s">
        <v>7090</v>
      </c>
      <c r="AU555">
        <v>2002</v>
      </c>
      <c r="AV555">
        <v>107</v>
      </c>
      <c r="AW555" t="s">
        <v>7804</v>
      </c>
      <c r="AX555" t="s">
        <v>74</v>
      </c>
      <c r="AY555" t="s">
        <v>74</v>
      </c>
      <c r="AZ555" t="s">
        <v>74</v>
      </c>
      <c r="BA555" t="s">
        <v>74</v>
      </c>
      <c r="BB555" t="s">
        <v>74</v>
      </c>
      <c r="BC555" t="s">
        <v>74</v>
      </c>
      <c r="BD555">
        <v>3198</v>
      </c>
      <c r="BE555" t="s">
        <v>7805</v>
      </c>
      <c r="BF555" t="str">
        <f>HYPERLINK("http://dx.doi.org/10.1029/2000JC000378","http://dx.doi.org/10.1029/2000JC000378")</f>
        <v>http://dx.doi.org/10.1029/2000JC000378</v>
      </c>
      <c r="BG555" t="s">
        <v>74</v>
      </c>
      <c r="BH555" t="s">
        <v>74</v>
      </c>
      <c r="BI555">
        <v>14</v>
      </c>
      <c r="BJ555" t="s">
        <v>1394</v>
      </c>
      <c r="BK555" t="s">
        <v>569</v>
      </c>
      <c r="BL555" t="s">
        <v>1394</v>
      </c>
      <c r="BM555" t="s">
        <v>7806</v>
      </c>
      <c r="BN555" t="s">
        <v>74</v>
      </c>
      <c r="BO555" t="s">
        <v>572</v>
      </c>
      <c r="BP555" t="s">
        <v>74</v>
      </c>
      <c r="BQ555" t="s">
        <v>74</v>
      </c>
      <c r="BR555" t="s">
        <v>98</v>
      </c>
      <c r="BS555" t="s">
        <v>7807</v>
      </c>
      <c r="BT555" t="str">
        <f>HYPERLINK("https%3A%2F%2Fwww.webofscience.com%2Fwos%2Fwoscc%2Ffull-record%2FWOS:000180570400019","View Full Record in Web of Science")</f>
        <v>View Full Record in Web of Science</v>
      </c>
    </row>
    <row r="556" spans="1:72" x14ac:dyDescent="0.15">
      <c r="A556" t="s">
        <v>552</v>
      </c>
      <c r="B556" t="s">
        <v>7808</v>
      </c>
      <c r="C556" t="s">
        <v>74</v>
      </c>
      <c r="D556" t="s">
        <v>74</v>
      </c>
      <c r="E556" t="s">
        <v>74</v>
      </c>
      <c r="F556" t="s">
        <v>7808</v>
      </c>
      <c r="G556" t="s">
        <v>74</v>
      </c>
      <c r="H556" t="s">
        <v>74</v>
      </c>
      <c r="I556" t="s">
        <v>7809</v>
      </c>
      <c r="J556" t="s">
        <v>5495</v>
      </c>
      <c r="K556" t="s">
        <v>74</v>
      </c>
      <c r="L556" t="s">
        <v>74</v>
      </c>
      <c r="M556" t="s">
        <v>78</v>
      </c>
      <c r="N556" t="s">
        <v>775</v>
      </c>
      <c r="O556" t="s">
        <v>74</v>
      </c>
      <c r="P556" t="s">
        <v>74</v>
      </c>
      <c r="Q556" t="s">
        <v>74</v>
      </c>
      <c r="R556" t="s">
        <v>74</v>
      </c>
      <c r="S556" t="s">
        <v>74</v>
      </c>
      <c r="T556" t="s">
        <v>7810</v>
      </c>
      <c r="U556" t="s">
        <v>7811</v>
      </c>
      <c r="V556" t="s">
        <v>7812</v>
      </c>
      <c r="W556" t="s">
        <v>7813</v>
      </c>
      <c r="X556" t="s">
        <v>7814</v>
      </c>
      <c r="Y556" t="s">
        <v>7815</v>
      </c>
      <c r="Z556" t="s">
        <v>7816</v>
      </c>
      <c r="AA556" t="s">
        <v>7817</v>
      </c>
      <c r="AB556" t="s">
        <v>7818</v>
      </c>
      <c r="AC556" t="s">
        <v>74</v>
      </c>
      <c r="AD556" t="s">
        <v>74</v>
      </c>
      <c r="AE556" t="s">
        <v>74</v>
      </c>
      <c r="AF556" t="s">
        <v>74</v>
      </c>
      <c r="AG556">
        <v>79</v>
      </c>
      <c r="AH556">
        <v>144</v>
      </c>
      <c r="AI556">
        <v>172</v>
      </c>
      <c r="AJ556">
        <v>0</v>
      </c>
      <c r="AK556">
        <v>40</v>
      </c>
      <c r="AL556" t="s">
        <v>387</v>
      </c>
      <c r="AM556" t="s">
        <v>388</v>
      </c>
      <c r="AN556" t="s">
        <v>389</v>
      </c>
      <c r="AO556" t="s">
        <v>5505</v>
      </c>
      <c r="AP556" t="s">
        <v>5506</v>
      </c>
      <c r="AQ556" t="s">
        <v>74</v>
      </c>
      <c r="AR556" t="s">
        <v>5507</v>
      </c>
      <c r="AS556" t="s">
        <v>5508</v>
      </c>
      <c r="AT556" t="s">
        <v>7090</v>
      </c>
      <c r="AU556">
        <v>2002</v>
      </c>
      <c r="AV556">
        <v>107</v>
      </c>
      <c r="AW556" t="s">
        <v>6487</v>
      </c>
      <c r="AX556" t="s">
        <v>74</v>
      </c>
      <c r="AY556" t="s">
        <v>74</v>
      </c>
      <c r="AZ556" t="s">
        <v>74</v>
      </c>
      <c r="BA556" t="s">
        <v>74</v>
      </c>
      <c r="BB556" t="s">
        <v>74</v>
      </c>
      <c r="BC556" t="s">
        <v>74</v>
      </c>
      <c r="BD556">
        <v>2289</v>
      </c>
      <c r="BE556" t="s">
        <v>7819</v>
      </c>
      <c r="BF556" t="str">
        <f>HYPERLINK("http://dx.doi.org/10.1029/2001JB001029","http://dx.doi.org/10.1029/2001JB001029")</f>
        <v>http://dx.doi.org/10.1029/2001JB001029</v>
      </c>
      <c r="BG556" t="s">
        <v>74</v>
      </c>
      <c r="BH556" t="s">
        <v>74</v>
      </c>
      <c r="BI556">
        <v>22</v>
      </c>
      <c r="BJ556" t="s">
        <v>2068</v>
      </c>
      <c r="BK556" t="s">
        <v>569</v>
      </c>
      <c r="BL556" t="s">
        <v>2068</v>
      </c>
      <c r="BM556" t="s">
        <v>7820</v>
      </c>
      <c r="BN556" t="s">
        <v>74</v>
      </c>
      <c r="BO556" t="s">
        <v>572</v>
      </c>
      <c r="BP556" t="s">
        <v>74</v>
      </c>
      <c r="BQ556" t="s">
        <v>74</v>
      </c>
      <c r="BR556" t="s">
        <v>98</v>
      </c>
      <c r="BS556" t="s">
        <v>7821</v>
      </c>
      <c r="BT556" t="str">
        <f>HYPERLINK("https%3A%2F%2Fwww.webofscience.com%2Fwos%2Fwoscc%2Ffull-record%2FWOS:000180527200024","View Full Record in Web of Science")</f>
        <v>View Full Record in Web of Science</v>
      </c>
    </row>
    <row r="557" spans="1:72" x14ac:dyDescent="0.15">
      <c r="A557" t="s">
        <v>552</v>
      </c>
      <c r="B557" t="s">
        <v>7822</v>
      </c>
      <c r="C557" t="s">
        <v>74</v>
      </c>
      <c r="D557" t="s">
        <v>74</v>
      </c>
      <c r="E557" t="s">
        <v>74</v>
      </c>
      <c r="F557" t="s">
        <v>7822</v>
      </c>
      <c r="G557" t="s">
        <v>74</v>
      </c>
      <c r="H557" t="s">
        <v>74</v>
      </c>
      <c r="I557" t="s">
        <v>7823</v>
      </c>
      <c r="J557" t="s">
        <v>5495</v>
      </c>
      <c r="K557" t="s">
        <v>74</v>
      </c>
      <c r="L557" t="s">
        <v>74</v>
      </c>
      <c r="M557" t="s">
        <v>78</v>
      </c>
      <c r="N557" t="s">
        <v>775</v>
      </c>
      <c r="O557" t="s">
        <v>74</v>
      </c>
      <c r="P557" t="s">
        <v>74</v>
      </c>
      <c r="Q557" t="s">
        <v>74</v>
      </c>
      <c r="R557" t="s">
        <v>74</v>
      </c>
      <c r="S557" t="s">
        <v>74</v>
      </c>
      <c r="T557" t="s">
        <v>7824</v>
      </c>
      <c r="U557" t="s">
        <v>7825</v>
      </c>
      <c r="V557" t="s">
        <v>7826</v>
      </c>
      <c r="W557" t="s">
        <v>7827</v>
      </c>
      <c r="X557" t="s">
        <v>7828</v>
      </c>
      <c r="Y557" t="s">
        <v>7829</v>
      </c>
      <c r="Z557" t="s">
        <v>7830</v>
      </c>
      <c r="AA557" t="s">
        <v>7831</v>
      </c>
      <c r="AB557" t="s">
        <v>7832</v>
      </c>
      <c r="AC557" t="s">
        <v>74</v>
      </c>
      <c r="AD557" t="s">
        <v>74</v>
      </c>
      <c r="AE557" t="s">
        <v>74</v>
      </c>
      <c r="AF557" t="s">
        <v>74</v>
      </c>
      <c r="AG557">
        <v>43</v>
      </c>
      <c r="AH557">
        <v>9</v>
      </c>
      <c r="AI557">
        <v>9</v>
      </c>
      <c r="AJ557">
        <v>0</v>
      </c>
      <c r="AK557">
        <v>7</v>
      </c>
      <c r="AL557" t="s">
        <v>387</v>
      </c>
      <c r="AM557" t="s">
        <v>388</v>
      </c>
      <c r="AN557" t="s">
        <v>389</v>
      </c>
      <c r="AO557" t="s">
        <v>5505</v>
      </c>
      <c r="AP557" t="s">
        <v>5506</v>
      </c>
      <c r="AQ557" t="s">
        <v>74</v>
      </c>
      <c r="AR557" t="s">
        <v>5507</v>
      </c>
      <c r="AS557" t="s">
        <v>5508</v>
      </c>
      <c r="AT557" t="s">
        <v>7090</v>
      </c>
      <c r="AU557">
        <v>2002</v>
      </c>
      <c r="AV557">
        <v>107</v>
      </c>
      <c r="AW557" t="s">
        <v>6487</v>
      </c>
      <c r="AX557" t="s">
        <v>74</v>
      </c>
      <c r="AY557" t="s">
        <v>74</v>
      </c>
      <c r="AZ557" t="s">
        <v>74</v>
      </c>
      <c r="BA557" t="s">
        <v>74</v>
      </c>
      <c r="BB557" t="s">
        <v>74</v>
      </c>
      <c r="BC557" t="s">
        <v>74</v>
      </c>
      <c r="BD557">
        <v>2291</v>
      </c>
      <c r="BE557" t="s">
        <v>7833</v>
      </c>
      <c r="BF557" t="str">
        <f>HYPERLINK("http://dx.doi.org/10.1029/2001JB000543","http://dx.doi.org/10.1029/2001JB000543")</f>
        <v>http://dx.doi.org/10.1029/2001JB000543</v>
      </c>
      <c r="BG557" t="s">
        <v>74</v>
      </c>
      <c r="BH557" t="s">
        <v>74</v>
      </c>
      <c r="BI557">
        <v>14</v>
      </c>
      <c r="BJ557" t="s">
        <v>2068</v>
      </c>
      <c r="BK557" t="s">
        <v>569</v>
      </c>
      <c r="BL557" t="s">
        <v>2068</v>
      </c>
      <c r="BM557" t="s">
        <v>7820</v>
      </c>
      <c r="BN557" t="s">
        <v>74</v>
      </c>
      <c r="BO557" t="s">
        <v>572</v>
      </c>
      <c r="BP557" t="s">
        <v>74</v>
      </c>
      <c r="BQ557" t="s">
        <v>74</v>
      </c>
      <c r="BR557" t="s">
        <v>98</v>
      </c>
      <c r="BS557" t="s">
        <v>7834</v>
      </c>
      <c r="BT557" t="str">
        <f>HYPERLINK("https%3A%2F%2Fwww.webofscience.com%2Fwos%2Fwoscc%2Ffull-record%2FWOS:000180527200026","View Full Record in Web of Science")</f>
        <v>View Full Record in Web of Science</v>
      </c>
    </row>
    <row r="558" spans="1:72" x14ac:dyDescent="0.15">
      <c r="A558" t="s">
        <v>552</v>
      </c>
      <c r="B558" t="s">
        <v>5665</v>
      </c>
      <c r="C558" t="s">
        <v>74</v>
      </c>
      <c r="D558" t="s">
        <v>74</v>
      </c>
      <c r="E558" t="s">
        <v>74</v>
      </c>
      <c r="F558" t="s">
        <v>5665</v>
      </c>
      <c r="G558" t="s">
        <v>74</v>
      </c>
      <c r="H558" t="s">
        <v>74</v>
      </c>
      <c r="I558" t="s">
        <v>7835</v>
      </c>
      <c r="J558" t="s">
        <v>5223</v>
      </c>
      <c r="K558" t="s">
        <v>74</v>
      </c>
      <c r="L558" t="s">
        <v>74</v>
      </c>
      <c r="M558" t="s">
        <v>78</v>
      </c>
      <c r="N558" t="s">
        <v>775</v>
      </c>
      <c r="O558" t="s">
        <v>74</v>
      </c>
      <c r="P558" t="s">
        <v>74</v>
      </c>
      <c r="Q558" t="s">
        <v>74</v>
      </c>
      <c r="R558" t="s">
        <v>74</v>
      </c>
      <c r="S558" t="s">
        <v>74</v>
      </c>
      <c r="T558" t="s">
        <v>7836</v>
      </c>
      <c r="U558" t="s">
        <v>7837</v>
      </c>
      <c r="V558" t="s">
        <v>7838</v>
      </c>
      <c r="W558" t="s">
        <v>5670</v>
      </c>
      <c r="X558" t="s">
        <v>5671</v>
      </c>
      <c r="Y558" t="s">
        <v>489</v>
      </c>
      <c r="Z558" t="s">
        <v>5672</v>
      </c>
      <c r="AA558" t="s">
        <v>5673</v>
      </c>
      <c r="AB558" t="s">
        <v>5674</v>
      </c>
      <c r="AC558" t="s">
        <v>74</v>
      </c>
      <c r="AD558" t="s">
        <v>74</v>
      </c>
      <c r="AE558" t="s">
        <v>74</v>
      </c>
      <c r="AF558" t="s">
        <v>74</v>
      </c>
      <c r="AG558">
        <v>36</v>
      </c>
      <c r="AH558">
        <v>14</v>
      </c>
      <c r="AI558">
        <v>15</v>
      </c>
      <c r="AJ558">
        <v>0</v>
      </c>
      <c r="AK558">
        <v>2</v>
      </c>
      <c r="AL558" t="s">
        <v>387</v>
      </c>
      <c r="AM558" t="s">
        <v>388</v>
      </c>
      <c r="AN558" t="s">
        <v>389</v>
      </c>
      <c r="AO558" t="s">
        <v>5231</v>
      </c>
      <c r="AP558" t="s">
        <v>5232</v>
      </c>
      <c r="AQ558" t="s">
        <v>74</v>
      </c>
      <c r="AR558" t="s">
        <v>5233</v>
      </c>
      <c r="AS558" t="s">
        <v>5234</v>
      </c>
      <c r="AT558" t="s">
        <v>7090</v>
      </c>
      <c r="AU558">
        <v>2002</v>
      </c>
      <c r="AV558">
        <v>107</v>
      </c>
      <c r="AW558" t="s">
        <v>7839</v>
      </c>
      <c r="AX558" t="s">
        <v>74</v>
      </c>
      <c r="AY558" t="s">
        <v>74</v>
      </c>
      <c r="AZ558" t="s">
        <v>74</v>
      </c>
      <c r="BA558" t="s">
        <v>74</v>
      </c>
      <c r="BB558" t="s">
        <v>74</v>
      </c>
      <c r="BC558" t="s">
        <v>74</v>
      </c>
      <c r="BD558">
        <v>1393</v>
      </c>
      <c r="BE558" t="s">
        <v>7840</v>
      </c>
      <c r="BF558" t="str">
        <f>HYPERLINK("http://dx.doi.org/10.1029/2001JA005073","http://dx.doi.org/10.1029/2001JA005073")</f>
        <v>http://dx.doi.org/10.1029/2001JA005073</v>
      </c>
      <c r="BG558" t="s">
        <v>74</v>
      </c>
      <c r="BH558" t="s">
        <v>74</v>
      </c>
      <c r="BI558">
        <v>11</v>
      </c>
      <c r="BJ558" t="s">
        <v>4840</v>
      </c>
      <c r="BK558" t="s">
        <v>569</v>
      </c>
      <c r="BL558" t="s">
        <v>4840</v>
      </c>
      <c r="BM558" t="s">
        <v>7841</v>
      </c>
      <c r="BN558" t="s">
        <v>74</v>
      </c>
      <c r="BO558" t="s">
        <v>572</v>
      </c>
      <c r="BP558" t="s">
        <v>74</v>
      </c>
      <c r="BQ558" t="s">
        <v>74</v>
      </c>
      <c r="BR558" t="s">
        <v>98</v>
      </c>
      <c r="BS558" t="s">
        <v>7842</v>
      </c>
      <c r="BT558" t="str">
        <f>HYPERLINK("https%3A%2F%2Fwww.webofscience.com%2Fwos%2Fwoscc%2Ffull-record%2FWOS:000180360500060","View Full Record in Web of Science")</f>
        <v>View Full Record in Web of Science</v>
      </c>
    </row>
    <row r="559" spans="1:72" x14ac:dyDescent="0.15">
      <c r="A559" t="s">
        <v>552</v>
      </c>
      <c r="B559" t="s">
        <v>7843</v>
      </c>
      <c r="C559" t="s">
        <v>74</v>
      </c>
      <c r="D559" t="s">
        <v>74</v>
      </c>
      <c r="E559" t="s">
        <v>74</v>
      </c>
      <c r="F559" t="s">
        <v>7843</v>
      </c>
      <c r="G559" t="s">
        <v>74</v>
      </c>
      <c r="H559" t="s">
        <v>74</v>
      </c>
      <c r="I559" t="s">
        <v>7844</v>
      </c>
      <c r="J559" t="s">
        <v>7845</v>
      </c>
      <c r="K559" t="s">
        <v>74</v>
      </c>
      <c r="L559" t="s">
        <v>74</v>
      </c>
      <c r="M559" t="s">
        <v>78</v>
      </c>
      <c r="N559" t="s">
        <v>775</v>
      </c>
      <c r="O559" t="s">
        <v>74</v>
      </c>
      <c r="P559" t="s">
        <v>74</v>
      </c>
      <c r="Q559" t="s">
        <v>74</v>
      </c>
      <c r="R559" t="s">
        <v>74</v>
      </c>
      <c r="S559" t="s">
        <v>74</v>
      </c>
      <c r="T559" t="s">
        <v>74</v>
      </c>
      <c r="U559" t="s">
        <v>7846</v>
      </c>
      <c r="V559" t="s">
        <v>7847</v>
      </c>
      <c r="W559" t="s">
        <v>7848</v>
      </c>
      <c r="X559" t="s">
        <v>7849</v>
      </c>
      <c r="Y559" t="s">
        <v>7850</v>
      </c>
      <c r="Z559" t="s">
        <v>7851</v>
      </c>
      <c r="AA559" t="s">
        <v>7852</v>
      </c>
      <c r="AB559" t="s">
        <v>7853</v>
      </c>
      <c r="AC559" t="s">
        <v>74</v>
      </c>
      <c r="AD559" t="s">
        <v>74</v>
      </c>
      <c r="AE559" t="s">
        <v>74</v>
      </c>
      <c r="AF559" t="s">
        <v>74</v>
      </c>
      <c r="AG559">
        <v>19</v>
      </c>
      <c r="AH559">
        <v>24</v>
      </c>
      <c r="AI559">
        <v>29</v>
      </c>
      <c r="AJ559">
        <v>0</v>
      </c>
      <c r="AK559">
        <v>9</v>
      </c>
      <c r="AL559" t="s">
        <v>2014</v>
      </c>
      <c r="AM559" t="s">
        <v>388</v>
      </c>
      <c r="AN559" t="s">
        <v>2015</v>
      </c>
      <c r="AO559" t="s">
        <v>7854</v>
      </c>
      <c r="AP559" t="s">
        <v>7855</v>
      </c>
      <c r="AQ559" t="s">
        <v>74</v>
      </c>
      <c r="AR559" t="s">
        <v>7856</v>
      </c>
      <c r="AS559" t="s">
        <v>7857</v>
      </c>
      <c r="AT559" t="s">
        <v>7090</v>
      </c>
      <c r="AU559">
        <v>2002</v>
      </c>
      <c r="AV559">
        <v>65</v>
      </c>
      <c r="AW559">
        <v>11</v>
      </c>
      <c r="AX559" t="s">
        <v>74</v>
      </c>
      <c r="AY559" t="s">
        <v>74</v>
      </c>
      <c r="AZ559" t="s">
        <v>74</v>
      </c>
      <c r="BA559" t="s">
        <v>74</v>
      </c>
      <c r="BB559">
        <v>1649</v>
      </c>
      <c r="BC559">
        <v>1656</v>
      </c>
      <c r="BD559" t="s">
        <v>74</v>
      </c>
      <c r="BE559" t="s">
        <v>7858</v>
      </c>
      <c r="BF559" t="str">
        <f>HYPERLINK("http://dx.doi.org/10.1021/np020234r","http://dx.doi.org/10.1021/np020234r")</f>
        <v>http://dx.doi.org/10.1021/np020234r</v>
      </c>
      <c r="BG559" t="s">
        <v>74</v>
      </c>
      <c r="BH559" t="s">
        <v>74</v>
      </c>
      <c r="BI559">
        <v>8</v>
      </c>
      <c r="BJ559" t="s">
        <v>7859</v>
      </c>
      <c r="BK559" t="s">
        <v>1174</v>
      </c>
      <c r="BL559" t="s">
        <v>7860</v>
      </c>
      <c r="BM559" t="s">
        <v>7861</v>
      </c>
      <c r="BN559">
        <v>12444692</v>
      </c>
      <c r="BO559" t="s">
        <v>74</v>
      </c>
      <c r="BP559" t="s">
        <v>74</v>
      </c>
      <c r="BQ559" t="s">
        <v>74</v>
      </c>
      <c r="BR559" t="s">
        <v>98</v>
      </c>
      <c r="BS559" t="s">
        <v>7862</v>
      </c>
      <c r="BT559" t="str">
        <f>HYPERLINK("https%3A%2F%2Fwww.webofscience.com%2Fwos%2Fwoscc%2Ffull-record%2FWOS:000179394400024","View Full Record in Web of Science")</f>
        <v>View Full Record in Web of Science</v>
      </c>
    </row>
    <row r="560" spans="1:72" x14ac:dyDescent="0.15">
      <c r="A560" t="s">
        <v>552</v>
      </c>
      <c r="B560" t="s">
        <v>7863</v>
      </c>
      <c r="C560" t="s">
        <v>74</v>
      </c>
      <c r="D560" t="s">
        <v>74</v>
      </c>
      <c r="E560" t="s">
        <v>74</v>
      </c>
      <c r="F560" t="s">
        <v>7863</v>
      </c>
      <c r="G560" t="s">
        <v>74</v>
      </c>
      <c r="H560" t="s">
        <v>74</v>
      </c>
      <c r="I560" t="s">
        <v>7864</v>
      </c>
      <c r="J560" t="s">
        <v>6324</v>
      </c>
      <c r="K560" t="s">
        <v>74</v>
      </c>
      <c r="L560" t="s">
        <v>74</v>
      </c>
      <c r="M560" t="s">
        <v>78</v>
      </c>
      <c r="N560" t="s">
        <v>775</v>
      </c>
      <c r="O560" t="s">
        <v>74</v>
      </c>
      <c r="P560" t="s">
        <v>74</v>
      </c>
      <c r="Q560" t="s">
        <v>74</v>
      </c>
      <c r="R560" t="s">
        <v>74</v>
      </c>
      <c r="S560" t="s">
        <v>74</v>
      </c>
      <c r="T560" t="s">
        <v>74</v>
      </c>
      <c r="U560" t="s">
        <v>7865</v>
      </c>
      <c r="V560" t="s">
        <v>7866</v>
      </c>
      <c r="W560" t="s">
        <v>7867</v>
      </c>
      <c r="X560" t="s">
        <v>7868</v>
      </c>
      <c r="Y560" t="s">
        <v>7869</v>
      </c>
      <c r="Z560" t="s">
        <v>7870</v>
      </c>
      <c r="AA560" t="s">
        <v>7871</v>
      </c>
      <c r="AB560" t="s">
        <v>7872</v>
      </c>
      <c r="AC560" t="s">
        <v>74</v>
      </c>
      <c r="AD560" t="s">
        <v>74</v>
      </c>
      <c r="AE560" t="s">
        <v>74</v>
      </c>
      <c r="AF560" t="s">
        <v>74</v>
      </c>
      <c r="AG560">
        <v>76</v>
      </c>
      <c r="AH560">
        <v>82</v>
      </c>
      <c r="AI560">
        <v>84</v>
      </c>
      <c r="AJ560">
        <v>1</v>
      </c>
      <c r="AK560">
        <v>20</v>
      </c>
      <c r="AL560" t="s">
        <v>2652</v>
      </c>
      <c r="AM560" t="s">
        <v>2653</v>
      </c>
      <c r="AN560" t="s">
        <v>6357</v>
      </c>
      <c r="AO560" t="s">
        <v>6332</v>
      </c>
      <c r="AP560" t="s">
        <v>6333</v>
      </c>
      <c r="AQ560" t="s">
        <v>74</v>
      </c>
      <c r="AR560" t="s">
        <v>6334</v>
      </c>
      <c r="AS560" t="s">
        <v>6335</v>
      </c>
      <c r="AT560" t="s">
        <v>7090</v>
      </c>
      <c r="AU560">
        <v>2002</v>
      </c>
      <c r="AV560">
        <v>32</v>
      </c>
      <c r="AW560">
        <v>11</v>
      </c>
      <c r="AX560" t="s">
        <v>74</v>
      </c>
      <c r="AY560" t="s">
        <v>74</v>
      </c>
      <c r="AZ560" t="s">
        <v>74</v>
      </c>
      <c r="BA560" t="s">
        <v>74</v>
      </c>
      <c r="BB560">
        <v>3020</v>
      </c>
      <c r="BC560">
        <v>3038</v>
      </c>
      <c r="BD560" t="s">
        <v>74</v>
      </c>
      <c r="BE560" t="s">
        <v>7873</v>
      </c>
      <c r="BF560" t="str">
        <f>HYPERLINK("http://dx.doi.org/10.1175/1520-0485(2002)032&lt;3020:FOSHTW&gt;2.0.CO;2","http://dx.doi.org/10.1175/1520-0485(2002)032&lt;3020:FOSHTW&gt;2.0.CO;2")</f>
        <v>http://dx.doi.org/10.1175/1520-0485(2002)032&lt;3020:FOSHTW&gt;2.0.CO;2</v>
      </c>
      <c r="BG560" t="s">
        <v>74</v>
      </c>
      <c r="BH560" t="s">
        <v>74</v>
      </c>
      <c r="BI560">
        <v>19</v>
      </c>
      <c r="BJ560" t="s">
        <v>1394</v>
      </c>
      <c r="BK560" t="s">
        <v>569</v>
      </c>
      <c r="BL560" t="s">
        <v>1394</v>
      </c>
      <c r="BM560" t="s">
        <v>7874</v>
      </c>
      <c r="BN560" t="s">
        <v>74</v>
      </c>
      <c r="BO560" t="s">
        <v>3260</v>
      </c>
      <c r="BP560" t="s">
        <v>74</v>
      </c>
      <c r="BQ560" t="s">
        <v>74</v>
      </c>
      <c r="BR560" t="s">
        <v>98</v>
      </c>
      <c r="BS560" t="s">
        <v>7875</v>
      </c>
      <c r="BT560" t="str">
        <f>HYPERLINK("https%3A%2F%2Fwww.webofscience.com%2Fwos%2Fwoscc%2Ffull-record%2FWOS:000178834000004","View Full Record in Web of Science")</f>
        <v>View Full Record in Web of Science</v>
      </c>
    </row>
    <row r="561" spans="1:72" x14ac:dyDescent="0.15">
      <c r="A561" t="s">
        <v>552</v>
      </c>
      <c r="B561" t="s">
        <v>7876</v>
      </c>
      <c r="C561" t="s">
        <v>74</v>
      </c>
      <c r="D561" t="s">
        <v>74</v>
      </c>
      <c r="E561" t="s">
        <v>74</v>
      </c>
      <c r="F561" t="s">
        <v>7876</v>
      </c>
      <c r="G561" t="s">
        <v>74</v>
      </c>
      <c r="H561" t="s">
        <v>74</v>
      </c>
      <c r="I561" t="s">
        <v>7877</v>
      </c>
      <c r="J561" t="s">
        <v>6324</v>
      </c>
      <c r="K561" t="s">
        <v>74</v>
      </c>
      <c r="L561" t="s">
        <v>74</v>
      </c>
      <c r="M561" t="s">
        <v>78</v>
      </c>
      <c r="N561" t="s">
        <v>775</v>
      </c>
      <c r="O561" t="s">
        <v>74</v>
      </c>
      <c r="P561" t="s">
        <v>74</v>
      </c>
      <c r="Q561" t="s">
        <v>74</v>
      </c>
      <c r="R561" t="s">
        <v>74</v>
      </c>
      <c r="S561" t="s">
        <v>74</v>
      </c>
      <c r="T561" t="s">
        <v>74</v>
      </c>
      <c r="U561" t="s">
        <v>7878</v>
      </c>
      <c r="V561" t="s">
        <v>7879</v>
      </c>
      <c r="W561" t="s">
        <v>7880</v>
      </c>
      <c r="X561" t="s">
        <v>7881</v>
      </c>
      <c r="Y561" t="s">
        <v>7882</v>
      </c>
      <c r="Z561" t="s">
        <v>74</v>
      </c>
      <c r="AA561" t="s">
        <v>74</v>
      </c>
      <c r="AB561" t="s">
        <v>7883</v>
      </c>
      <c r="AC561" t="s">
        <v>74</v>
      </c>
      <c r="AD561" t="s">
        <v>74</v>
      </c>
      <c r="AE561" t="s">
        <v>74</v>
      </c>
      <c r="AF561" t="s">
        <v>74</v>
      </c>
      <c r="AG561">
        <v>39</v>
      </c>
      <c r="AH561">
        <v>16</v>
      </c>
      <c r="AI561">
        <v>17</v>
      </c>
      <c r="AJ561">
        <v>0</v>
      </c>
      <c r="AK561">
        <v>6</v>
      </c>
      <c r="AL561" t="s">
        <v>2652</v>
      </c>
      <c r="AM561" t="s">
        <v>2653</v>
      </c>
      <c r="AN561" t="s">
        <v>2654</v>
      </c>
      <c r="AO561" t="s">
        <v>6332</v>
      </c>
      <c r="AP561" t="s">
        <v>74</v>
      </c>
      <c r="AQ561" t="s">
        <v>74</v>
      </c>
      <c r="AR561" t="s">
        <v>6334</v>
      </c>
      <c r="AS561" t="s">
        <v>6335</v>
      </c>
      <c r="AT561" t="s">
        <v>7090</v>
      </c>
      <c r="AU561">
        <v>2002</v>
      </c>
      <c r="AV561">
        <v>32</v>
      </c>
      <c r="AW561">
        <v>11</v>
      </c>
      <c r="AX561" t="s">
        <v>74</v>
      </c>
      <c r="AY561" t="s">
        <v>74</v>
      </c>
      <c r="AZ561" t="s">
        <v>74</v>
      </c>
      <c r="BA561" t="s">
        <v>74</v>
      </c>
      <c r="BB561">
        <v>3216</v>
      </c>
      <c r="BC561">
        <v>3232</v>
      </c>
      <c r="BD561" t="s">
        <v>74</v>
      </c>
      <c r="BE561" t="s">
        <v>7884</v>
      </c>
      <c r="BF561" t="str">
        <f>HYPERLINK("http://dx.doi.org/10.1175/1520-0485(2002)032&lt;3216:RTFOAB&gt;2.0.CO;2","http://dx.doi.org/10.1175/1520-0485(2002)032&lt;3216:RTFOAB&gt;2.0.CO;2")</f>
        <v>http://dx.doi.org/10.1175/1520-0485(2002)032&lt;3216:RTFOAB&gt;2.0.CO;2</v>
      </c>
      <c r="BG561" t="s">
        <v>74</v>
      </c>
      <c r="BH561" t="s">
        <v>74</v>
      </c>
      <c r="BI561">
        <v>17</v>
      </c>
      <c r="BJ561" t="s">
        <v>1394</v>
      </c>
      <c r="BK561" t="s">
        <v>569</v>
      </c>
      <c r="BL561" t="s">
        <v>1394</v>
      </c>
      <c r="BM561" t="s">
        <v>7874</v>
      </c>
      <c r="BN561" t="s">
        <v>74</v>
      </c>
      <c r="BO561" t="s">
        <v>2660</v>
      </c>
      <c r="BP561" t="s">
        <v>74</v>
      </c>
      <c r="BQ561" t="s">
        <v>74</v>
      </c>
      <c r="BR561" t="s">
        <v>98</v>
      </c>
      <c r="BS561" t="s">
        <v>7885</v>
      </c>
      <c r="BT561" t="str">
        <f>HYPERLINK("https%3A%2F%2Fwww.webofscience.com%2Fwos%2Fwoscc%2Ffull-record%2FWOS:000178834000017","View Full Record in Web of Science")</f>
        <v>View Full Record in Web of Science</v>
      </c>
    </row>
    <row r="562" spans="1:72" x14ac:dyDescent="0.15">
      <c r="A562" t="s">
        <v>552</v>
      </c>
      <c r="B562" t="s">
        <v>7886</v>
      </c>
      <c r="C562" t="s">
        <v>74</v>
      </c>
      <c r="D562" t="s">
        <v>74</v>
      </c>
      <c r="E562" t="s">
        <v>74</v>
      </c>
      <c r="F562" t="s">
        <v>7886</v>
      </c>
      <c r="G562" t="s">
        <v>74</v>
      </c>
      <c r="H562" t="s">
        <v>74</v>
      </c>
      <c r="I562" t="s">
        <v>7887</v>
      </c>
      <c r="J562" t="s">
        <v>7888</v>
      </c>
      <c r="K562" t="s">
        <v>74</v>
      </c>
      <c r="L562" t="s">
        <v>74</v>
      </c>
      <c r="M562" t="s">
        <v>78</v>
      </c>
      <c r="N562" t="s">
        <v>775</v>
      </c>
      <c r="O562" t="s">
        <v>74</v>
      </c>
      <c r="P562" t="s">
        <v>74</v>
      </c>
      <c r="Q562" t="s">
        <v>74</v>
      </c>
      <c r="R562" t="s">
        <v>74</v>
      </c>
      <c r="S562" t="s">
        <v>74</v>
      </c>
      <c r="T562" t="s">
        <v>74</v>
      </c>
      <c r="U562" t="s">
        <v>7889</v>
      </c>
      <c r="V562" t="s">
        <v>7890</v>
      </c>
      <c r="W562" t="s">
        <v>7891</v>
      </c>
      <c r="X562" t="s">
        <v>7892</v>
      </c>
      <c r="Y562" t="s">
        <v>7893</v>
      </c>
      <c r="Z562" t="s">
        <v>7894</v>
      </c>
      <c r="AA562" t="s">
        <v>7895</v>
      </c>
      <c r="AB562" t="s">
        <v>74</v>
      </c>
      <c r="AC562" t="s">
        <v>74</v>
      </c>
      <c r="AD562" t="s">
        <v>74</v>
      </c>
      <c r="AE562" t="s">
        <v>74</v>
      </c>
      <c r="AF562" t="s">
        <v>74</v>
      </c>
      <c r="AG562">
        <v>57</v>
      </c>
      <c r="AH562">
        <v>107</v>
      </c>
      <c r="AI562">
        <v>116</v>
      </c>
      <c r="AJ562">
        <v>0</v>
      </c>
      <c r="AK562">
        <v>42</v>
      </c>
      <c r="AL562" t="s">
        <v>7896</v>
      </c>
      <c r="AM562" t="s">
        <v>7897</v>
      </c>
      <c r="AN562" t="s">
        <v>7898</v>
      </c>
      <c r="AO562" t="s">
        <v>7899</v>
      </c>
      <c r="AP562" t="s">
        <v>7900</v>
      </c>
      <c r="AQ562" t="s">
        <v>74</v>
      </c>
      <c r="AR562" t="s">
        <v>7901</v>
      </c>
      <c r="AS562" t="s">
        <v>7902</v>
      </c>
      <c r="AT562" t="s">
        <v>7090</v>
      </c>
      <c r="AU562">
        <v>2002</v>
      </c>
      <c r="AV562">
        <v>72</v>
      </c>
      <c r="AW562">
        <v>6</v>
      </c>
      <c r="AX562" t="s">
        <v>74</v>
      </c>
      <c r="AY562" t="s">
        <v>74</v>
      </c>
      <c r="AZ562" t="s">
        <v>74</v>
      </c>
      <c r="BA562" t="s">
        <v>74</v>
      </c>
      <c r="BB562">
        <v>858</v>
      </c>
      <c r="BC562">
        <v>870</v>
      </c>
      <c r="BD562" t="s">
        <v>74</v>
      </c>
      <c r="BE562" t="s">
        <v>7903</v>
      </c>
      <c r="BF562" t="str">
        <f>HYPERLINK("http://dx.doi.org/10.1306/040902720858","http://dx.doi.org/10.1306/040902720858")</f>
        <v>http://dx.doi.org/10.1306/040902720858</v>
      </c>
      <c r="BG562" t="s">
        <v>74</v>
      </c>
      <c r="BH562" t="s">
        <v>74</v>
      </c>
      <c r="BI562">
        <v>13</v>
      </c>
      <c r="BJ562" t="s">
        <v>1814</v>
      </c>
      <c r="BK562" t="s">
        <v>569</v>
      </c>
      <c r="BL562" t="s">
        <v>1814</v>
      </c>
      <c r="BM562" t="s">
        <v>7904</v>
      </c>
      <c r="BN562" t="s">
        <v>74</v>
      </c>
      <c r="BO562" t="s">
        <v>74</v>
      </c>
      <c r="BP562" t="s">
        <v>74</v>
      </c>
      <c r="BQ562" t="s">
        <v>74</v>
      </c>
      <c r="BR562" t="s">
        <v>98</v>
      </c>
      <c r="BS562" t="s">
        <v>7905</v>
      </c>
      <c r="BT562" t="str">
        <f>HYPERLINK("https%3A%2F%2Fwww.webofscience.com%2Fwos%2Fwoscc%2Ffull-record%2FWOS:000180892100009","View Full Record in Web of Science")</f>
        <v>View Full Record in Web of Science</v>
      </c>
    </row>
    <row r="563" spans="1:72" x14ac:dyDescent="0.15">
      <c r="A563" t="s">
        <v>552</v>
      </c>
      <c r="B563" t="s">
        <v>7906</v>
      </c>
      <c r="C563" t="s">
        <v>74</v>
      </c>
      <c r="D563" t="s">
        <v>74</v>
      </c>
      <c r="E563" t="s">
        <v>74</v>
      </c>
      <c r="F563" t="s">
        <v>7906</v>
      </c>
      <c r="G563" t="s">
        <v>74</v>
      </c>
      <c r="H563" t="s">
        <v>74</v>
      </c>
      <c r="I563" t="s">
        <v>7907</v>
      </c>
      <c r="J563" t="s">
        <v>7908</v>
      </c>
      <c r="K563" t="s">
        <v>74</v>
      </c>
      <c r="L563" t="s">
        <v>74</v>
      </c>
      <c r="M563" t="s">
        <v>78</v>
      </c>
      <c r="N563" t="s">
        <v>775</v>
      </c>
      <c r="O563" t="s">
        <v>74</v>
      </c>
      <c r="P563" t="s">
        <v>74</v>
      </c>
      <c r="Q563" t="s">
        <v>74</v>
      </c>
      <c r="R563" t="s">
        <v>74</v>
      </c>
      <c r="S563" t="s">
        <v>74</v>
      </c>
      <c r="T563" t="s">
        <v>74</v>
      </c>
      <c r="U563" t="s">
        <v>7909</v>
      </c>
      <c r="V563" t="s">
        <v>7910</v>
      </c>
      <c r="W563" t="s">
        <v>7911</v>
      </c>
      <c r="X563" t="s">
        <v>417</v>
      </c>
      <c r="Y563" t="s">
        <v>7912</v>
      </c>
      <c r="Z563" t="s">
        <v>74</v>
      </c>
      <c r="AA563" t="s">
        <v>7913</v>
      </c>
      <c r="AB563" t="s">
        <v>7914</v>
      </c>
      <c r="AC563" t="s">
        <v>74</v>
      </c>
      <c r="AD563" t="s">
        <v>74</v>
      </c>
      <c r="AE563" t="s">
        <v>74</v>
      </c>
      <c r="AF563" t="s">
        <v>74</v>
      </c>
      <c r="AG563">
        <v>35</v>
      </c>
      <c r="AH563">
        <v>49</v>
      </c>
      <c r="AI563">
        <v>50</v>
      </c>
      <c r="AJ563">
        <v>0</v>
      </c>
      <c r="AK563">
        <v>4</v>
      </c>
      <c r="AL563" t="s">
        <v>2652</v>
      </c>
      <c r="AM563" t="s">
        <v>2653</v>
      </c>
      <c r="AN563" t="s">
        <v>2654</v>
      </c>
      <c r="AO563" t="s">
        <v>7915</v>
      </c>
      <c r="AP563" t="s">
        <v>74</v>
      </c>
      <c r="AQ563" t="s">
        <v>74</v>
      </c>
      <c r="AR563" t="s">
        <v>7916</v>
      </c>
      <c r="AS563" t="s">
        <v>7917</v>
      </c>
      <c r="AT563" t="s">
        <v>7090</v>
      </c>
      <c r="AU563">
        <v>2002</v>
      </c>
      <c r="AV563">
        <v>59</v>
      </c>
      <c r="AW563">
        <v>21</v>
      </c>
      <c r="AX563" t="s">
        <v>74</v>
      </c>
      <c r="AY563" t="s">
        <v>74</v>
      </c>
      <c r="AZ563" t="s">
        <v>74</v>
      </c>
      <c r="BA563" t="s">
        <v>74</v>
      </c>
      <c r="BB563">
        <v>3117</v>
      </c>
      <c r="BC563">
        <v>3129</v>
      </c>
      <c r="BD563" t="s">
        <v>74</v>
      </c>
      <c r="BE563" t="s">
        <v>7918</v>
      </c>
      <c r="BF563" t="str">
        <f>HYPERLINK("http://dx.doi.org/10.1175/1520-0469(2002)059&lt;3117:MBOTEA&gt;2.0.CO;2","http://dx.doi.org/10.1175/1520-0469(2002)059&lt;3117:MBOTEA&gt;2.0.CO;2")</f>
        <v>http://dx.doi.org/10.1175/1520-0469(2002)059&lt;3117:MBOTEA&gt;2.0.CO;2</v>
      </c>
      <c r="BG563" t="s">
        <v>74</v>
      </c>
      <c r="BH563" t="s">
        <v>74</v>
      </c>
      <c r="BI563">
        <v>13</v>
      </c>
      <c r="BJ563" t="s">
        <v>1237</v>
      </c>
      <c r="BK563" t="s">
        <v>569</v>
      </c>
      <c r="BL563" t="s">
        <v>1237</v>
      </c>
      <c r="BM563" t="s">
        <v>7919</v>
      </c>
      <c r="BN563" t="s">
        <v>74</v>
      </c>
      <c r="BO563" t="s">
        <v>2660</v>
      </c>
      <c r="BP563" t="s">
        <v>74</v>
      </c>
      <c r="BQ563" t="s">
        <v>74</v>
      </c>
      <c r="BR563" t="s">
        <v>98</v>
      </c>
      <c r="BS563" t="s">
        <v>7920</v>
      </c>
      <c r="BT563" t="str">
        <f>HYPERLINK("https%3A%2F%2Fwww.webofscience.com%2Fwos%2Fwoscc%2Ffull-record%2FWOS:000178576500007","View Full Record in Web of Science")</f>
        <v>View Full Record in Web of Science</v>
      </c>
    </row>
    <row r="564" spans="1:72" x14ac:dyDescent="0.15">
      <c r="A564" t="s">
        <v>552</v>
      </c>
      <c r="B564" t="s">
        <v>7921</v>
      </c>
      <c r="C564" t="s">
        <v>74</v>
      </c>
      <c r="D564" t="s">
        <v>74</v>
      </c>
      <c r="E564" t="s">
        <v>74</v>
      </c>
      <c r="F564" t="s">
        <v>7921</v>
      </c>
      <c r="G564" t="s">
        <v>74</v>
      </c>
      <c r="H564" t="s">
        <v>74</v>
      </c>
      <c r="I564" t="s">
        <v>7922</v>
      </c>
      <c r="J564" t="s">
        <v>7923</v>
      </c>
      <c r="K564" t="s">
        <v>74</v>
      </c>
      <c r="L564" t="s">
        <v>74</v>
      </c>
      <c r="M564" t="s">
        <v>78</v>
      </c>
      <c r="N564" t="s">
        <v>6198</v>
      </c>
      <c r="O564" t="s">
        <v>74</v>
      </c>
      <c r="P564" t="s">
        <v>74</v>
      </c>
      <c r="Q564" t="s">
        <v>74</v>
      </c>
      <c r="R564" t="s">
        <v>74</v>
      </c>
      <c r="S564" t="s">
        <v>74</v>
      </c>
      <c r="T564" t="s">
        <v>74</v>
      </c>
      <c r="U564" t="s">
        <v>74</v>
      </c>
      <c r="V564" t="s">
        <v>74</v>
      </c>
      <c r="W564" t="s">
        <v>7924</v>
      </c>
      <c r="X564" t="s">
        <v>74</v>
      </c>
      <c r="Y564" t="s">
        <v>7925</v>
      </c>
      <c r="Z564" t="s">
        <v>74</v>
      </c>
      <c r="AA564" t="s">
        <v>74</v>
      </c>
      <c r="AB564" t="s">
        <v>74</v>
      </c>
      <c r="AC564" t="s">
        <v>74</v>
      </c>
      <c r="AD564" t="s">
        <v>74</v>
      </c>
      <c r="AE564" t="s">
        <v>74</v>
      </c>
      <c r="AF564" t="s">
        <v>74</v>
      </c>
      <c r="AG564">
        <v>1</v>
      </c>
      <c r="AH564">
        <v>0</v>
      </c>
      <c r="AI564">
        <v>0</v>
      </c>
      <c r="AJ564">
        <v>0</v>
      </c>
      <c r="AK564">
        <v>2</v>
      </c>
      <c r="AL564" t="s">
        <v>7926</v>
      </c>
      <c r="AM564" t="s">
        <v>561</v>
      </c>
      <c r="AN564" t="s">
        <v>7927</v>
      </c>
      <c r="AO564" t="s">
        <v>7928</v>
      </c>
      <c r="AP564" t="s">
        <v>74</v>
      </c>
      <c r="AQ564" t="s">
        <v>74</v>
      </c>
      <c r="AR564" t="s">
        <v>7929</v>
      </c>
      <c r="AS564" t="s">
        <v>7930</v>
      </c>
      <c r="AT564" t="s">
        <v>7416</v>
      </c>
      <c r="AU564">
        <v>2002</v>
      </c>
      <c r="AV564">
        <v>127</v>
      </c>
      <c r="AW564">
        <v>18</v>
      </c>
      <c r="AX564" t="s">
        <v>74</v>
      </c>
      <c r="AY564" t="s">
        <v>74</v>
      </c>
      <c r="AZ564" t="s">
        <v>74</v>
      </c>
      <c r="BA564" t="s">
        <v>74</v>
      </c>
      <c r="BB564">
        <v>120</v>
      </c>
      <c r="BC564">
        <v>120</v>
      </c>
      <c r="BD564" t="s">
        <v>74</v>
      </c>
      <c r="BE564" t="s">
        <v>74</v>
      </c>
      <c r="BF564" t="s">
        <v>74</v>
      </c>
      <c r="BG564" t="s">
        <v>74</v>
      </c>
      <c r="BH564" t="s">
        <v>74</v>
      </c>
      <c r="BI564">
        <v>1</v>
      </c>
      <c r="BJ564" t="s">
        <v>7931</v>
      </c>
      <c r="BK564" t="s">
        <v>4745</v>
      </c>
      <c r="BL564" t="s">
        <v>7931</v>
      </c>
      <c r="BM564" t="s">
        <v>7932</v>
      </c>
      <c r="BN564" t="s">
        <v>74</v>
      </c>
      <c r="BO564" t="s">
        <v>74</v>
      </c>
      <c r="BP564" t="s">
        <v>74</v>
      </c>
      <c r="BQ564" t="s">
        <v>74</v>
      </c>
      <c r="BR564" t="s">
        <v>98</v>
      </c>
      <c r="BS564" t="s">
        <v>7933</v>
      </c>
      <c r="BT564" t="str">
        <f>HYPERLINK("https%3A%2F%2Fwww.webofscience.com%2Fwos%2Fwoscc%2Ffull-record%2FWOS:000178878100184","View Full Record in Web of Science")</f>
        <v>View Full Record in Web of Science</v>
      </c>
    </row>
    <row r="565" spans="1:72" x14ac:dyDescent="0.15">
      <c r="A565" t="s">
        <v>552</v>
      </c>
      <c r="B565" t="s">
        <v>7934</v>
      </c>
      <c r="C565" t="s">
        <v>74</v>
      </c>
      <c r="D565" t="s">
        <v>74</v>
      </c>
      <c r="E565" t="s">
        <v>74</v>
      </c>
      <c r="F565" t="s">
        <v>7934</v>
      </c>
      <c r="G565" t="s">
        <v>74</v>
      </c>
      <c r="H565" t="s">
        <v>74</v>
      </c>
      <c r="I565" t="s">
        <v>7935</v>
      </c>
      <c r="J565" t="s">
        <v>6392</v>
      </c>
      <c r="K565" t="s">
        <v>74</v>
      </c>
      <c r="L565" t="s">
        <v>74</v>
      </c>
      <c r="M565" t="s">
        <v>78</v>
      </c>
      <c r="N565" t="s">
        <v>775</v>
      </c>
      <c r="O565" t="s">
        <v>74</v>
      </c>
      <c r="P565" t="s">
        <v>74</v>
      </c>
      <c r="Q565" t="s">
        <v>74</v>
      </c>
      <c r="R565" t="s">
        <v>74</v>
      </c>
      <c r="S565" t="s">
        <v>74</v>
      </c>
      <c r="T565" t="s">
        <v>74</v>
      </c>
      <c r="U565" t="s">
        <v>7936</v>
      </c>
      <c r="V565" t="s">
        <v>7937</v>
      </c>
      <c r="W565" t="s">
        <v>7938</v>
      </c>
      <c r="X565" t="s">
        <v>7939</v>
      </c>
      <c r="Y565" t="s">
        <v>7940</v>
      </c>
      <c r="Z565" t="s">
        <v>3372</v>
      </c>
      <c r="AA565" t="s">
        <v>7941</v>
      </c>
      <c r="AB565" t="s">
        <v>7942</v>
      </c>
      <c r="AC565" t="s">
        <v>74</v>
      </c>
      <c r="AD565" t="s">
        <v>74</v>
      </c>
      <c r="AE565" t="s">
        <v>74</v>
      </c>
      <c r="AF565" t="s">
        <v>74</v>
      </c>
      <c r="AG565">
        <v>62</v>
      </c>
      <c r="AH565">
        <v>33</v>
      </c>
      <c r="AI565">
        <v>42</v>
      </c>
      <c r="AJ565">
        <v>0</v>
      </c>
      <c r="AK565">
        <v>18</v>
      </c>
      <c r="AL565" t="s">
        <v>4121</v>
      </c>
      <c r="AM565" t="s">
        <v>4122</v>
      </c>
      <c r="AN565" t="s">
        <v>4123</v>
      </c>
      <c r="AO565" t="s">
        <v>6397</v>
      </c>
      <c r="AP565" t="s">
        <v>7943</v>
      </c>
      <c r="AQ565" t="s">
        <v>74</v>
      </c>
      <c r="AR565" t="s">
        <v>6398</v>
      </c>
      <c r="AS565" t="s">
        <v>6399</v>
      </c>
      <c r="AT565" t="s">
        <v>7090</v>
      </c>
      <c r="AU565">
        <v>2002</v>
      </c>
      <c r="AV565">
        <v>141</v>
      </c>
      <c r="AW565">
        <v>5</v>
      </c>
      <c r="AX565" t="s">
        <v>74</v>
      </c>
      <c r="AY565" t="s">
        <v>74</v>
      </c>
      <c r="AZ565" t="s">
        <v>74</v>
      </c>
      <c r="BA565" t="s">
        <v>74</v>
      </c>
      <c r="BB565">
        <v>855</v>
      </c>
      <c r="BC565">
        <v>862</v>
      </c>
      <c r="BD565" t="s">
        <v>74</v>
      </c>
      <c r="BE565" t="s">
        <v>7944</v>
      </c>
      <c r="BF565" t="str">
        <f>HYPERLINK("http://dx.doi.org/10.1007/s00227-002-0877-7","http://dx.doi.org/10.1007/s00227-002-0877-7")</f>
        <v>http://dx.doi.org/10.1007/s00227-002-0877-7</v>
      </c>
      <c r="BG565" t="s">
        <v>74</v>
      </c>
      <c r="BH565" t="s">
        <v>74</v>
      </c>
      <c r="BI565">
        <v>8</v>
      </c>
      <c r="BJ565" t="s">
        <v>989</v>
      </c>
      <c r="BK565" t="s">
        <v>569</v>
      </c>
      <c r="BL565" t="s">
        <v>989</v>
      </c>
      <c r="BM565" t="s">
        <v>7945</v>
      </c>
      <c r="BN565" t="s">
        <v>74</v>
      </c>
      <c r="BO565" t="s">
        <v>590</v>
      </c>
      <c r="BP565" t="s">
        <v>74</v>
      </c>
      <c r="BQ565" t="s">
        <v>74</v>
      </c>
      <c r="BR565" t="s">
        <v>98</v>
      </c>
      <c r="BS565" t="s">
        <v>7946</v>
      </c>
      <c r="BT565" t="str">
        <f>HYPERLINK("https%3A%2F%2Fwww.webofscience.com%2Fwos%2Fwoscc%2Ffull-record%2FWOS:000179690700006","View Full Record in Web of Science")</f>
        <v>View Full Record in Web of Science</v>
      </c>
    </row>
    <row r="566" spans="1:72" x14ac:dyDescent="0.15">
      <c r="A566" t="s">
        <v>552</v>
      </c>
      <c r="B566" t="s">
        <v>7947</v>
      </c>
      <c r="C566" t="s">
        <v>74</v>
      </c>
      <c r="D566" t="s">
        <v>74</v>
      </c>
      <c r="E566" t="s">
        <v>74</v>
      </c>
      <c r="F566" t="s">
        <v>7947</v>
      </c>
      <c r="G566" t="s">
        <v>74</v>
      </c>
      <c r="H566" t="s">
        <v>74</v>
      </c>
      <c r="I566" t="s">
        <v>7948</v>
      </c>
      <c r="J566" t="s">
        <v>7949</v>
      </c>
      <c r="K566" t="s">
        <v>74</v>
      </c>
      <c r="L566" t="s">
        <v>74</v>
      </c>
      <c r="M566" t="s">
        <v>78</v>
      </c>
      <c r="N566" t="s">
        <v>775</v>
      </c>
      <c r="O566" t="s">
        <v>74</v>
      </c>
      <c r="P566" t="s">
        <v>74</v>
      </c>
      <c r="Q566" t="s">
        <v>74</v>
      </c>
      <c r="R566" t="s">
        <v>74</v>
      </c>
      <c r="S566" t="s">
        <v>74</v>
      </c>
      <c r="T566" t="s">
        <v>7950</v>
      </c>
      <c r="U566" t="s">
        <v>7951</v>
      </c>
      <c r="V566" t="s">
        <v>7952</v>
      </c>
      <c r="W566" t="s">
        <v>7953</v>
      </c>
      <c r="X566" t="s">
        <v>7954</v>
      </c>
      <c r="Y566" t="s">
        <v>7955</v>
      </c>
      <c r="Z566" t="s">
        <v>7956</v>
      </c>
      <c r="AA566" t="s">
        <v>7957</v>
      </c>
      <c r="AB566" t="s">
        <v>7958</v>
      </c>
      <c r="AC566" t="s">
        <v>74</v>
      </c>
      <c r="AD566" t="s">
        <v>74</v>
      </c>
      <c r="AE566" t="s">
        <v>74</v>
      </c>
      <c r="AF566" t="s">
        <v>74</v>
      </c>
      <c r="AG566">
        <v>60</v>
      </c>
      <c r="AH566">
        <v>24</v>
      </c>
      <c r="AI566">
        <v>26</v>
      </c>
      <c r="AJ566">
        <v>0</v>
      </c>
      <c r="AK566">
        <v>7</v>
      </c>
      <c r="AL566" t="s">
        <v>1860</v>
      </c>
      <c r="AM566" t="s">
        <v>1861</v>
      </c>
      <c r="AN566" t="s">
        <v>1862</v>
      </c>
      <c r="AO566" t="s">
        <v>7959</v>
      </c>
      <c r="AP566" t="s">
        <v>74</v>
      </c>
      <c r="AQ566" t="s">
        <v>74</v>
      </c>
      <c r="AR566" t="s">
        <v>7960</v>
      </c>
      <c r="AS566" t="s">
        <v>7961</v>
      </c>
      <c r="AT566" t="s">
        <v>7090</v>
      </c>
      <c r="AU566">
        <v>2002</v>
      </c>
      <c r="AV566">
        <v>46</v>
      </c>
      <c r="AW566" t="s">
        <v>1424</v>
      </c>
      <c r="AX566" t="s">
        <v>74</v>
      </c>
      <c r="AY566" t="s">
        <v>74</v>
      </c>
      <c r="AZ566" t="s">
        <v>74</v>
      </c>
      <c r="BA566" t="s">
        <v>74</v>
      </c>
      <c r="BB566">
        <v>431</v>
      </c>
      <c r="BC566">
        <v>444</v>
      </c>
      <c r="BD566" t="s">
        <v>7962</v>
      </c>
      <c r="BE566" t="s">
        <v>7963</v>
      </c>
      <c r="BF566" t="str">
        <f>HYPERLINK("http://dx.doi.org/10.1016/S0377-8398(02)00084-1","http://dx.doi.org/10.1016/S0377-8398(02)00084-1")</f>
        <v>http://dx.doi.org/10.1016/S0377-8398(02)00084-1</v>
      </c>
      <c r="BG566" t="s">
        <v>74</v>
      </c>
      <c r="BH566" t="s">
        <v>74</v>
      </c>
      <c r="BI566">
        <v>14</v>
      </c>
      <c r="BJ566" t="s">
        <v>3069</v>
      </c>
      <c r="BK566" t="s">
        <v>569</v>
      </c>
      <c r="BL566" t="s">
        <v>3069</v>
      </c>
      <c r="BM566" t="s">
        <v>7964</v>
      </c>
      <c r="BN566" t="s">
        <v>74</v>
      </c>
      <c r="BO566" t="s">
        <v>74</v>
      </c>
      <c r="BP566" t="s">
        <v>74</v>
      </c>
      <c r="BQ566" t="s">
        <v>74</v>
      </c>
      <c r="BR566" t="s">
        <v>98</v>
      </c>
      <c r="BS566" t="s">
        <v>7965</v>
      </c>
      <c r="BT566" t="str">
        <f>HYPERLINK("https%3A%2F%2Fwww.webofscience.com%2Fwos%2Fwoscc%2Ffull-record%2FWOS:000179430800009","View Full Record in Web of Science")</f>
        <v>View Full Record in Web of Science</v>
      </c>
    </row>
    <row r="567" spans="1:72" x14ac:dyDescent="0.15">
      <c r="A567" t="s">
        <v>552</v>
      </c>
      <c r="B567" t="s">
        <v>7966</v>
      </c>
      <c r="C567" t="s">
        <v>74</v>
      </c>
      <c r="D567" t="s">
        <v>74</v>
      </c>
      <c r="E567" t="s">
        <v>74</v>
      </c>
      <c r="F567" t="s">
        <v>7966</v>
      </c>
      <c r="G567" t="s">
        <v>74</v>
      </c>
      <c r="H567" t="s">
        <v>74</v>
      </c>
      <c r="I567" t="s">
        <v>7967</v>
      </c>
      <c r="J567" t="s">
        <v>7968</v>
      </c>
      <c r="K567" t="s">
        <v>74</v>
      </c>
      <c r="L567" t="s">
        <v>74</v>
      </c>
      <c r="M567" t="s">
        <v>78</v>
      </c>
      <c r="N567" t="s">
        <v>775</v>
      </c>
      <c r="O567" t="s">
        <v>74</v>
      </c>
      <c r="P567" t="s">
        <v>74</v>
      </c>
      <c r="Q567" t="s">
        <v>74</v>
      </c>
      <c r="R567" t="s">
        <v>74</v>
      </c>
      <c r="S567" t="s">
        <v>74</v>
      </c>
      <c r="T567" t="s">
        <v>74</v>
      </c>
      <c r="U567" t="s">
        <v>7969</v>
      </c>
      <c r="V567" t="s">
        <v>74</v>
      </c>
      <c r="W567" t="s">
        <v>7970</v>
      </c>
      <c r="X567" t="s">
        <v>7971</v>
      </c>
      <c r="Y567" t="s">
        <v>7972</v>
      </c>
      <c r="Z567" t="s">
        <v>74</v>
      </c>
      <c r="AA567" t="s">
        <v>7973</v>
      </c>
      <c r="AB567" t="s">
        <v>7974</v>
      </c>
      <c r="AC567" t="s">
        <v>74</v>
      </c>
      <c r="AD567" t="s">
        <v>74</v>
      </c>
      <c r="AE567" t="s">
        <v>74</v>
      </c>
      <c r="AF567" t="s">
        <v>74</v>
      </c>
      <c r="AG567">
        <v>33</v>
      </c>
      <c r="AH567">
        <v>25</v>
      </c>
      <c r="AI567">
        <v>27</v>
      </c>
      <c r="AJ567">
        <v>0</v>
      </c>
      <c r="AK567">
        <v>4</v>
      </c>
      <c r="AL567" t="s">
        <v>806</v>
      </c>
      <c r="AM567" t="s">
        <v>807</v>
      </c>
      <c r="AN567" t="s">
        <v>808</v>
      </c>
      <c r="AO567" t="s">
        <v>7975</v>
      </c>
      <c r="AP567" t="s">
        <v>7976</v>
      </c>
      <c r="AQ567" t="s">
        <v>74</v>
      </c>
      <c r="AR567" t="s">
        <v>7977</v>
      </c>
      <c r="AS567" t="s">
        <v>7978</v>
      </c>
      <c r="AT567" t="s">
        <v>7090</v>
      </c>
      <c r="AU567">
        <v>2002</v>
      </c>
      <c r="AV567">
        <v>44</v>
      </c>
      <c r="AW567">
        <v>11</v>
      </c>
      <c r="AX567" t="s">
        <v>74</v>
      </c>
      <c r="AY567" t="s">
        <v>74</v>
      </c>
      <c r="AZ567" t="s">
        <v>74</v>
      </c>
      <c r="BA567" t="s">
        <v>74</v>
      </c>
      <c r="BB567">
        <v>1296</v>
      </c>
      <c r="BC567">
        <v>1303</v>
      </c>
      <c r="BD567" t="s">
        <v>7979</v>
      </c>
      <c r="BE567" t="s">
        <v>7980</v>
      </c>
      <c r="BF567" t="str">
        <f>HYPERLINK("http://dx.doi.org/10.1016/S0025-326X(02)00215-1","http://dx.doi.org/10.1016/S0025-326X(02)00215-1")</f>
        <v>http://dx.doi.org/10.1016/S0025-326X(02)00215-1</v>
      </c>
      <c r="BG567" t="s">
        <v>74</v>
      </c>
      <c r="BH567" t="s">
        <v>74</v>
      </c>
      <c r="BI567">
        <v>8</v>
      </c>
      <c r="BJ567" t="s">
        <v>7981</v>
      </c>
      <c r="BK567" t="s">
        <v>569</v>
      </c>
      <c r="BL567" t="s">
        <v>7494</v>
      </c>
      <c r="BM567" t="s">
        <v>7982</v>
      </c>
      <c r="BN567">
        <v>12523530</v>
      </c>
      <c r="BO567" t="s">
        <v>74</v>
      </c>
      <c r="BP567" t="s">
        <v>74</v>
      </c>
      <c r="BQ567" t="s">
        <v>74</v>
      </c>
      <c r="BR567" t="s">
        <v>98</v>
      </c>
      <c r="BS567" t="s">
        <v>7983</v>
      </c>
      <c r="BT567" t="str">
        <f>HYPERLINK("https%3A%2F%2Fwww.webofscience.com%2Fwos%2Fwoscc%2Ffull-record%2FWOS:000179831400025","View Full Record in Web of Science")</f>
        <v>View Full Record in Web of Science</v>
      </c>
    </row>
    <row r="568" spans="1:72" x14ac:dyDescent="0.15">
      <c r="A568" t="s">
        <v>552</v>
      </c>
      <c r="B568" t="s">
        <v>7984</v>
      </c>
      <c r="C568" t="s">
        <v>74</v>
      </c>
      <c r="D568" t="s">
        <v>74</v>
      </c>
      <c r="E568" t="s">
        <v>74</v>
      </c>
      <c r="F568" t="s">
        <v>7984</v>
      </c>
      <c r="G568" t="s">
        <v>74</v>
      </c>
      <c r="H568" t="s">
        <v>74</v>
      </c>
      <c r="I568" t="s">
        <v>7985</v>
      </c>
      <c r="J568" t="s">
        <v>7986</v>
      </c>
      <c r="K568" t="s">
        <v>74</v>
      </c>
      <c r="L568" t="s">
        <v>74</v>
      </c>
      <c r="M568" t="s">
        <v>78</v>
      </c>
      <c r="N568" t="s">
        <v>775</v>
      </c>
      <c r="O568" t="s">
        <v>74</v>
      </c>
      <c r="P568" t="s">
        <v>74</v>
      </c>
      <c r="Q568" t="s">
        <v>74</v>
      </c>
      <c r="R568" t="s">
        <v>74</v>
      </c>
      <c r="S568" t="s">
        <v>74</v>
      </c>
      <c r="T568" t="s">
        <v>7987</v>
      </c>
      <c r="U568" t="s">
        <v>7988</v>
      </c>
      <c r="V568" t="s">
        <v>7989</v>
      </c>
      <c r="W568" t="s">
        <v>7990</v>
      </c>
      <c r="X568" t="s">
        <v>7991</v>
      </c>
      <c r="Y568" t="s">
        <v>7992</v>
      </c>
      <c r="Z568" t="s">
        <v>74</v>
      </c>
      <c r="AA568" t="s">
        <v>7993</v>
      </c>
      <c r="AB568" t="s">
        <v>7994</v>
      </c>
      <c r="AC568" t="s">
        <v>74</v>
      </c>
      <c r="AD568" t="s">
        <v>74</v>
      </c>
      <c r="AE568" t="s">
        <v>74</v>
      </c>
      <c r="AF568" t="s">
        <v>74</v>
      </c>
      <c r="AG568">
        <v>20</v>
      </c>
      <c r="AH568">
        <v>10</v>
      </c>
      <c r="AI568">
        <v>13</v>
      </c>
      <c r="AJ568">
        <v>1</v>
      </c>
      <c r="AK568">
        <v>6</v>
      </c>
      <c r="AL568" t="s">
        <v>4012</v>
      </c>
      <c r="AM568" t="s">
        <v>561</v>
      </c>
      <c r="AN568" t="s">
        <v>4013</v>
      </c>
      <c r="AO568" t="s">
        <v>7995</v>
      </c>
      <c r="AP568" t="s">
        <v>7996</v>
      </c>
      <c r="AQ568" t="s">
        <v>74</v>
      </c>
      <c r="AR568" t="s">
        <v>7997</v>
      </c>
      <c r="AS568" t="s">
        <v>2446</v>
      </c>
      <c r="AT568" t="s">
        <v>7134</v>
      </c>
      <c r="AU568">
        <v>2002</v>
      </c>
      <c r="AV568">
        <v>71</v>
      </c>
      <c r="AW568">
        <v>6</v>
      </c>
      <c r="AX568" t="s">
        <v>74</v>
      </c>
      <c r="AY568" t="s">
        <v>74</v>
      </c>
      <c r="AZ568" t="s">
        <v>74</v>
      </c>
      <c r="BA568" t="s">
        <v>74</v>
      </c>
      <c r="BB568">
        <v>723</v>
      </c>
      <c r="BC568">
        <v>734</v>
      </c>
      <c r="BD568" t="s">
        <v>74</v>
      </c>
      <c r="BE568" t="s">
        <v>7998</v>
      </c>
      <c r="BF568" t="str">
        <f>HYPERLINK("http://dx.doi.org/10.1023/A:1021444309796","http://dx.doi.org/10.1023/A:1021444309796")</f>
        <v>http://dx.doi.org/10.1023/A:1021444309796</v>
      </c>
      <c r="BG568" t="s">
        <v>74</v>
      </c>
      <c r="BH568" t="s">
        <v>74</v>
      </c>
      <c r="BI568">
        <v>12</v>
      </c>
      <c r="BJ568" t="s">
        <v>2446</v>
      </c>
      <c r="BK568" t="s">
        <v>569</v>
      </c>
      <c r="BL568" t="s">
        <v>2446</v>
      </c>
      <c r="BM568" t="s">
        <v>7999</v>
      </c>
      <c r="BN568" t="s">
        <v>74</v>
      </c>
      <c r="BO568" t="s">
        <v>74</v>
      </c>
      <c r="BP568" t="s">
        <v>74</v>
      </c>
      <c r="BQ568" t="s">
        <v>74</v>
      </c>
      <c r="BR568" t="s">
        <v>98</v>
      </c>
      <c r="BS568" t="s">
        <v>8000</v>
      </c>
      <c r="BT568" t="str">
        <f>HYPERLINK("https%3A%2F%2Fwww.webofscience.com%2Fwos%2Fwoscc%2Ffull-record%2FWOS:000180090300015","View Full Record in Web of Science")</f>
        <v>View Full Record in Web of Science</v>
      </c>
    </row>
    <row r="569" spans="1:72" x14ac:dyDescent="0.15">
      <c r="A569" t="s">
        <v>552</v>
      </c>
      <c r="B569" t="s">
        <v>8001</v>
      </c>
      <c r="C569" t="s">
        <v>74</v>
      </c>
      <c r="D569" t="s">
        <v>74</v>
      </c>
      <c r="E569" t="s">
        <v>74</v>
      </c>
      <c r="F569" t="s">
        <v>8001</v>
      </c>
      <c r="G569" t="s">
        <v>74</v>
      </c>
      <c r="H569" t="s">
        <v>74</v>
      </c>
      <c r="I569" t="s">
        <v>8002</v>
      </c>
      <c r="J569" t="s">
        <v>8003</v>
      </c>
      <c r="K569" t="s">
        <v>74</v>
      </c>
      <c r="L569" t="s">
        <v>74</v>
      </c>
      <c r="M569" t="s">
        <v>78</v>
      </c>
      <c r="N569" t="s">
        <v>52</v>
      </c>
      <c r="O569" t="s">
        <v>8004</v>
      </c>
      <c r="P569" t="s">
        <v>8005</v>
      </c>
      <c r="Q569" t="s">
        <v>8006</v>
      </c>
      <c r="R569" t="s">
        <v>74</v>
      </c>
      <c r="S569" t="s">
        <v>74</v>
      </c>
      <c r="T569" t="s">
        <v>74</v>
      </c>
      <c r="U569" t="s">
        <v>74</v>
      </c>
      <c r="V569" t="s">
        <v>74</v>
      </c>
      <c r="W569" t="s">
        <v>8007</v>
      </c>
      <c r="X569" t="s">
        <v>8008</v>
      </c>
      <c r="Y569" t="s">
        <v>74</v>
      </c>
      <c r="Z569" t="s">
        <v>74</v>
      </c>
      <c r="AA569" t="s">
        <v>74</v>
      </c>
      <c r="AB569" t="s">
        <v>74</v>
      </c>
      <c r="AC569" t="s">
        <v>74</v>
      </c>
      <c r="AD569" t="s">
        <v>74</v>
      </c>
      <c r="AE569" t="s">
        <v>74</v>
      </c>
      <c r="AF569" t="s">
        <v>74</v>
      </c>
      <c r="AG569">
        <v>0</v>
      </c>
      <c r="AH569">
        <v>0</v>
      </c>
      <c r="AI569">
        <v>0</v>
      </c>
      <c r="AJ569">
        <v>0</v>
      </c>
      <c r="AK569">
        <v>2</v>
      </c>
      <c r="AL569" t="s">
        <v>8009</v>
      </c>
      <c r="AM569" t="s">
        <v>3899</v>
      </c>
      <c r="AN569" t="s">
        <v>8010</v>
      </c>
      <c r="AO569" t="s">
        <v>8011</v>
      </c>
      <c r="AP569" t="s">
        <v>74</v>
      </c>
      <c r="AQ569" t="s">
        <v>74</v>
      </c>
      <c r="AR569" t="s">
        <v>8012</v>
      </c>
      <c r="AS569" t="s">
        <v>8013</v>
      </c>
      <c r="AT569" t="s">
        <v>7090</v>
      </c>
      <c r="AU569">
        <v>2002</v>
      </c>
      <c r="AV569">
        <v>13</v>
      </c>
      <c r="AW569" t="s">
        <v>74</v>
      </c>
      <c r="AX569" t="s">
        <v>74</v>
      </c>
      <c r="AY569" t="s">
        <v>74</v>
      </c>
      <c r="AZ569" t="s">
        <v>74</v>
      </c>
      <c r="BA569">
        <v>2600</v>
      </c>
      <c r="BB569" t="s">
        <v>8014</v>
      </c>
      <c r="BC569" t="s">
        <v>8014</v>
      </c>
      <c r="BD569" t="s">
        <v>74</v>
      </c>
      <c r="BE569" t="s">
        <v>74</v>
      </c>
      <c r="BF569" t="s">
        <v>74</v>
      </c>
      <c r="BG569" t="s">
        <v>74</v>
      </c>
      <c r="BH569" t="s">
        <v>74</v>
      </c>
      <c r="BI569">
        <v>1</v>
      </c>
      <c r="BJ569" t="s">
        <v>1155</v>
      </c>
      <c r="BK569" t="s">
        <v>589</v>
      </c>
      <c r="BL569" t="s">
        <v>1155</v>
      </c>
      <c r="BM569" t="s">
        <v>8015</v>
      </c>
      <c r="BN569" t="s">
        <v>74</v>
      </c>
      <c r="BO569" t="s">
        <v>74</v>
      </c>
      <c r="BP569" t="s">
        <v>74</v>
      </c>
      <c r="BQ569" t="s">
        <v>74</v>
      </c>
      <c r="BR569" t="s">
        <v>98</v>
      </c>
      <c r="BS569" t="s">
        <v>8016</v>
      </c>
      <c r="BT569" t="str">
        <f>HYPERLINK("https%3A%2F%2Fwww.webofscience.com%2Fwos%2Fwoscc%2Ffull-record%2FWOS:000179569102599","View Full Record in Web of Science")</f>
        <v>View Full Record in Web of Science</v>
      </c>
    </row>
    <row r="570" spans="1:72" x14ac:dyDescent="0.15">
      <c r="A570" t="s">
        <v>552</v>
      </c>
      <c r="B570" t="s">
        <v>8017</v>
      </c>
      <c r="C570" t="s">
        <v>74</v>
      </c>
      <c r="D570" t="s">
        <v>74</v>
      </c>
      <c r="E570" t="s">
        <v>74</v>
      </c>
      <c r="F570" t="s">
        <v>8017</v>
      </c>
      <c r="G570" t="s">
        <v>74</v>
      </c>
      <c r="H570" t="s">
        <v>74</v>
      </c>
      <c r="I570" t="s">
        <v>8018</v>
      </c>
      <c r="J570" t="s">
        <v>6492</v>
      </c>
      <c r="K570" t="s">
        <v>74</v>
      </c>
      <c r="L570" t="s">
        <v>74</v>
      </c>
      <c r="M570" t="s">
        <v>78</v>
      </c>
      <c r="N570" t="s">
        <v>775</v>
      </c>
      <c r="O570" t="s">
        <v>74</v>
      </c>
      <c r="P570" t="s">
        <v>74</v>
      </c>
      <c r="Q570" t="s">
        <v>74</v>
      </c>
      <c r="R570" t="s">
        <v>74</v>
      </c>
      <c r="S570" t="s">
        <v>74</v>
      </c>
      <c r="T570" t="s">
        <v>8019</v>
      </c>
      <c r="U570" t="s">
        <v>8020</v>
      </c>
      <c r="V570" t="s">
        <v>8021</v>
      </c>
      <c r="W570" t="s">
        <v>8022</v>
      </c>
      <c r="X570" t="s">
        <v>3963</v>
      </c>
      <c r="Y570" t="s">
        <v>3993</v>
      </c>
      <c r="Z570" t="s">
        <v>8023</v>
      </c>
      <c r="AA570" t="s">
        <v>74</v>
      </c>
      <c r="AB570" t="s">
        <v>983</v>
      </c>
      <c r="AC570" t="s">
        <v>74</v>
      </c>
      <c r="AD570" t="s">
        <v>74</v>
      </c>
      <c r="AE570" t="s">
        <v>74</v>
      </c>
      <c r="AF570" t="s">
        <v>74</v>
      </c>
      <c r="AG570">
        <v>42</v>
      </c>
      <c r="AH570">
        <v>42</v>
      </c>
      <c r="AI570">
        <v>49</v>
      </c>
      <c r="AJ570">
        <v>0</v>
      </c>
      <c r="AK570">
        <v>11</v>
      </c>
      <c r="AL570" t="s">
        <v>1147</v>
      </c>
      <c r="AM570" t="s">
        <v>1148</v>
      </c>
      <c r="AN570" t="s">
        <v>1149</v>
      </c>
      <c r="AO570" t="s">
        <v>6502</v>
      </c>
      <c r="AP570" t="s">
        <v>6503</v>
      </c>
      <c r="AQ570" t="s">
        <v>74</v>
      </c>
      <c r="AR570" t="s">
        <v>6504</v>
      </c>
      <c r="AS570" t="s">
        <v>6505</v>
      </c>
      <c r="AT570" t="s">
        <v>7090</v>
      </c>
      <c r="AU570">
        <v>2002</v>
      </c>
      <c r="AV570">
        <v>11</v>
      </c>
      <c r="AW570">
        <v>11</v>
      </c>
      <c r="AX570" t="s">
        <v>74</v>
      </c>
      <c r="AY570" t="s">
        <v>74</v>
      </c>
      <c r="AZ570" t="s">
        <v>74</v>
      </c>
      <c r="BA570" t="s">
        <v>74</v>
      </c>
      <c r="BB570">
        <v>2285</v>
      </c>
      <c r="BC570">
        <v>2293</v>
      </c>
      <c r="BD570" t="s">
        <v>74</v>
      </c>
      <c r="BE570" t="s">
        <v>8024</v>
      </c>
      <c r="BF570" t="str">
        <f>HYPERLINK("http://dx.doi.org/10.1046/j.1365-294X.2002.01621.x","http://dx.doi.org/10.1046/j.1365-294X.2002.01621.x")</f>
        <v>http://dx.doi.org/10.1046/j.1365-294X.2002.01621.x</v>
      </c>
      <c r="BG570" t="s">
        <v>74</v>
      </c>
      <c r="BH570" t="s">
        <v>74</v>
      </c>
      <c r="BI570">
        <v>9</v>
      </c>
      <c r="BJ570" t="s">
        <v>6507</v>
      </c>
      <c r="BK570" t="s">
        <v>569</v>
      </c>
      <c r="BL570" t="s">
        <v>6508</v>
      </c>
      <c r="BM570" t="s">
        <v>8025</v>
      </c>
      <c r="BN570">
        <v>12406239</v>
      </c>
      <c r="BO570" t="s">
        <v>74</v>
      </c>
      <c r="BP570" t="s">
        <v>74</v>
      </c>
      <c r="BQ570" t="s">
        <v>74</v>
      </c>
      <c r="BR570" t="s">
        <v>98</v>
      </c>
      <c r="BS570" t="s">
        <v>8026</v>
      </c>
      <c r="BT570" t="str">
        <f>HYPERLINK("https%3A%2F%2Fwww.webofscience.com%2Fwos%2Fwoscc%2Ffull-record%2FWOS:000178962500007","View Full Record in Web of Science")</f>
        <v>View Full Record in Web of Science</v>
      </c>
    </row>
    <row r="571" spans="1:72" x14ac:dyDescent="0.15">
      <c r="A571" t="s">
        <v>552</v>
      </c>
      <c r="B571" t="s">
        <v>8027</v>
      </c>
      <c r="C571" t="s">
        <v>74</v>
      </c>
      <c r="D571" t="s">
        <v>74</v>
      </c>
      <c r="E571" t="s">
        <v>74</v>
      </c>
      <c r="F571" t="s">
        <v>8027</v>
      </c>
      <c r="G571" t="s">
        <v>74</v>
      </c>
      <c r="H571" t="s">
        <v>74</v>
      </c>
      <c r="I571" t="s">
        <v>8028</v>
      </c>
      <c r="J571" t="s">
        <v>8029</v>
      </c>
      <c r="K571" t="s">
        <v>74</v>
      </c>
      <c r="L571" t="s">
        <v>74</v>
      </c>
      <c r="M571" t="s">
        <v>78</v>
      </c>
      <c r="N571" t="s">
        <v>775</v>
      </c>
      <c r="O571" t="s">
        <v>74</v>
      </c>
      <c r="P571" t="s">
        <v>74</v>
      </c>
      <c r="Q571" t="s">
        <v>74</v>
      </c>
      <c r="R571" t="s">
        <v>74</v>
      </c>
      <c r="S571" t="s">
        <v>74</v>
      </c>
      <c r="T571" t="s">
        <v>8030</v>
      </c>
      <c r="U571" t="s">
        <v>8031</v>
      </c>
      <c r="V571" t="s">
        <v>8032</v>
      </c>
      <c r="W571" t="s">
        <v>8033</v>
      </c>
      <c r="X571" t="s">
        <v>8034</v>
      </c>
      <c r="Y571" t="s">
        <v>8035</v>
      </c>
      <c r="Z571" t="s">
        <v>74</v>
      </c>
      <c r="AA571" t="s">
        <v>74</v>
      </c>
      <c r="AB571" t="s">
        <v>74</v>
      </c>
      <c r="AC571" t="s">
        <v>74</v>
      </c>
      <c r="AD571" t="s">
        <v>74</v>
      </c>
      <c r="AE571" t="s">
        <v>74</v>
      </c>
      <c r="AF571" t="s">
        <v>74</v>
      </c>
      <c r="AG571">
        <v>33</v>
      </c>
      <c r="AH571">
        <v>11</v>
      </c>
      <c r="AI571">
        <v>11</v>
      </c>
      <c r="AJ571">
        <v>0</v>
      </c>
      <c r="AK571">
        <v>3</v>
      </c>
      <c r="AL571" t="s">
        <v>8036</v>
      </c>
      <c r="AM571" t="s">
        <v>1905</v>
      </c>
      <c r="AN571" t="s">
        <v>8037</v>
      </c>
      <c r="AO571" t="s">
        <v>8038</v>
      </c>
      <c r="AP571" t="s">
        <v>74</v>
      </c>
      <c r="AQ571" t="s">
        <v>74</v>
      </c>
      <c r="AR571" t="s">
        <v>8039</v>
      </c>
      <c r="AS571" t="s">
        <v>8040</v>
      </c>
      <c r="AT571" t="s">
        <v>7134</v>
      </c>
      <c r="AU571">
        <v>2002</v>
      </c>
      <c r="AV571">
        <v>25</v>
      </c>
      <c r="AW571">
        <v>6</v>
      </c>
      <c r="AX571" t="s">
        <v>74</v>
      </c>
      <c r="AY571" t="s">
        <v>74</v>
      </c>
      <c r="AZ571" t="s">
        <v>74</v>
      </c>
      <c r="BA571" t="s">
        <v>74</v>
      </c>
      <c r="BB571">
        <v>303</v>
      </c>
      <c r="BC571">
        <v>313</v>
      </c>
      <c r="BD571" t="s">
        <v>8041</v>
      </c>
      <c r="BE571" t="s">
        <v>8042</v>
      </c>
      <c r="BF571" t="str">
        <f>HYPERLINK("http://dx.doi.org/10.1016/S0399-1784(02)01197-0","http://dx.doi.org/10.1016/S0399-1784(02)01197-0")</f>
        <v>http://dx.doi.org/10.1016/S0399-1784(02)01197-0</v>
      </c>
      <c r="BG571" t="s">
        <v>74</v>
      </c>
      <c r="BH571" t="s">
        <v>74</v>
      </c>
      <c r="BI571">
        <v>11</v>
      </c>
      <c r="BJ571" t="s">
        <v>1394</v>
      </c>
      <c r="BK571" t="s">
        <v>569</v>
      </c>
      <c r="BL571" t="s">
        <v>1394</v>
      </c>
      <c r="BM571" t="s">
        <v>8043</v>
      </c>
      <c r="BN571" t="s">
        <v>74</v>
      </c>
      <c r="BO571" t="s">
        <v>74</v>
      </c>
      <c r="BP571" t="s">
        <v>74</v>
      </c>
      <c r="BQ571" t="s">
        <v>74</v>
      </c>
      <c r="BR571" t="s">
        <v>98</v>
      </c>
      <c r="BS571" t="s">
        <v>8044</v>
      </c>
      <c r="BT571" t="str">
        <f>HYPERLINK("https%3A%2F%2Fwww.webofscience.com%2Fwos%2Fwoscc%2Ffull-record%2FWOS:000182314100003","View Full Record in Web of Science")</f>
        <v>View Full Record in Web of Science</v>
      </c>
    </row>
    <row r="572" spans="1:72" x14ac:dyDescent="0.15">
      <c r="A572" t="s">
        <v>552</v>
      </c>
      <c r="B572" t="s">
        <v>8045</v>
      </c>
      <c r="C572" t="s">
        <v>74</v>
      </c>
      <c r="D572" t="s">
        <v>74</v>
      </c>
      <c r="E572" t="s">
        <v>74</v>
      </c>
      <c r="F572" t="s">
        <v>8045</v>
      </c>
      <c r="G572" t="s">
        <v>74</v>
      </c>
      <c r="H572" t="s">
        <v>74</v>
      </c>
      <c r="I572" t="s">
        <v>8046</v>
      </c>
      <c r="J572" t="s">
        <v>4004</v>
      </c>
      <c r="K572" t="s">
        <v>74</v>
      </c>
      <c r="L572" t="s">
        <v>74</v>
      </c>
      <c r="M572" t="s">
        <v>78</v>
      </c>
      <c r="N572" t="s">
        <v>775</v>
      </c>
      <c r="O572" t="s">
        <v>74</v>
      </c>
      <c r="P572" t="s">
        <v>74</v>
      </c>
      <c r="Q572" t="s">
        <v>74</v>
      </c>
      <c r="R572" t="s">
        <v>74</v>
      </c>
      <c r="S572" t="s">
        <v>74</v>
      </c>
      <c r="T572" t="s">
        <v>74</v>
      </c>
      <c r="U572" t="s">
        <v>8047</v>
      </c>
      <c r="V572" t="s">
        <v>8048</v>
      </c>
      <c r="W572" t="s">
        <v>8049</v>
      </c>
      <c r="X572" t="s">
        <v>1328</v>
      </c>
      <c r="Y572" t="s">
        <v>8050</v>
      </c>
      <c r="Z572" t="s">
        <v>74</v>
      </c>
      <c r="AA572" t="s">
        <v>74</v>
      </c>
      <c r="AB572" t="s">
        <v>74</v>
      </c>
      <c r="AC572" t="s">
        <v>74</v>
      </c>
      <c r="AD572" t="s">
        <v>74</v>
      </c>
      <c r="AE572" t="s">
        <v>74</v>
      </c>
      <c r="AF572" t="s">
        <v>74</v>
      </c>
      <c r="AG572">
        <v>17</v>
      </c>
      <c r="AH572">
        <v>2</v>
      </c>
      <c r="AI572">
        <v>2</v>
      </c>
      <c r="AJ572">
        <v>0</v>
      </c>
      <c r="AK572">
        <v>0</v>
      </c>
      <c r="AL572" t="s">
        <v>1807</v>
      </c>
      <c r="AM572" t="s">
        <v>1808</v>
      </c>
      <c r="AN572" t="s">
        <v>1809</v>
      </c>
      <c r="AO572" t="s">
        <v>4014</v>
      </c>
      <c r="AP572" t="s">
        <v>74</v>
      </c>
      <c r="AQ572" t="s">
        <v>74</v>
      </c>
      <c r="AR572" t="s">
        <v>4016</v>
      </c>
      <c r="AS572" t="s">
        <v>4017</v>
      </c>
      <c r="AT572" t="s">
        <v>7134</v>
      </c>
      <c r="AU572">
        <v>2002</v>
      </c>
      <c r="AV572">
        <v>42</v>
      </c>
      <c r="AW572">
        <v>6</v>
      </c>
      <c r="AX572" t="s">
        <v>74</v>
      </c>
      <c r="AY572" t="s">
        <v>74</v>
      </c>
      <c r="AZ572" t="s">
        <v>74</v>
      </c>
      <c r="BA572" t="s">
        <v>74</v>
      </c>
      <c r="BB572">
        <v>775</v>
      </c>
      <c r="BC572">
        <v>780</v>
      </c>
      <c r="BD572" t="s">
        <v>74</v>
      </c>
      <c r="BE572" t="s">
        <v>74</v>
      </c>
      <c r="BF572" t="s">
        <v>74</v>
      </c>
      <c r="BG572" t="s">
        <v>74</v>
      </c>
      <c r="BH572" t="s">
        <v>74</v>
      </c>
      <c r="BI572">
        <v>6</v>
      </c>
      <c r="BJ572" t="s">
        <v>1394</v>
      </c>
      <c r="BK572" t="s">
        <v>569</v>
      </c>
      <c r="BL572" t="s">
        <v>1394</v>
      </c>
      <c r="BM572" t="s">
        <v>8051</v>
      </c>
      <c r="BN572" t="s">
        <v>74</v>
      </c>
      <c r="BO572" t="s">
        <v>74</v>
      </c>
      <c r="BP572" t="s">
        <v>74</v>
      </c>
      <c r="BQ572" t="s">
        <v>74</v>
      </c>
      <c r="BR572" t="s">
        <v>98</v>
      </c>
      <c r="BS572" t="s">
        <v>8052</v>
      </c>
      <c r="BT572" t="str">
        <f>HYPERLINK("https%3A%2F%2Fwww.webofscience.com%2Fwos%2Fwoscc%2Ffull-record%2FWOS:000180132500002","View Full Record in Web of Science")</f>
        <v>View Full Record in Web of Science</v>
      </c>
    </row>
    <row r="573" spans="1:72" x14ac:dyDescent="0.15">
      <c r="A573" t="s">
        <v>552</v>
      </c>
      <c r="B573" t="s">
        <v>8053</v>
      </c>
      <c r="C573" t="s">
        <v>74</v>
      </c>
      <c r="D573" t="s">
        <v>74</v>
      </c>
      <c r="E573" t="s">
        <v>74</v>
      </c>
      <c r="F573" t="s">
        <v>8053</v>
      </c>
      <c r="G573" t="s">
        <v>74</v>
      </c>
      <c r="H573" t="s">
        <v>74</v>
      </c>
      <c r="I573" t="s">
        <v>8054</v>
      </c>
      <c r="J573" t="s">
        <v>4004</v>
      </c>
      <c r="K573" t="s">
        <v>74</v>
      </c>
      <c r="L573" t="s">
        <v>74</v>
      </c>
      <c r="M573" t="s">
        <v>78</v>
      </c>
      <c r="N573" t="s">
        <v>775</v>
      </c>
      <c r="O573" t="s">
        <v>74</v>
      </c>
      <c r="P573" t="s">
        <v>74</v>
      </c>
      <c r="Q573" t="s">
        <v>74</v>
      </c>
      <c r="R573" t="s">
        <v>74</v>
      </c>
      <c r="S573" t="s">
        <v>74</v>
      </c>
      <c r="T573" t="s">
        <v>74</v>
      </c>
      <c r="U573" t="s">
        <v>8055</v>
      </c>
      <c r="V573" t="s">
        <v>8056</v>
      </c>
      <c r="W573" t="s">
        <v>8057</v>
      </c>
      <c r="X573" t="s">
        <v>1328</v>
      </c>
      <c r="Y573" t="s">
        <v>8058</v>
      </c>
      <c r="Z573" t="s">
        <v>74</v>
      </c>
      <c r="AA573" t="s">
        <v>74</v>
      </c>
      <c r="AB573" t="s">
        <v>74</v>
      </c>
      <c r="AC573" t="s">
        <v>74</v>
      </c>
      <c r="AD573" t="s">
        <v>74</v>
      </c>
      <c r="AE573" t="s">
        <v>74</v>
      </c>
      <c r="AF573" t="s">
        <v>74</v>
      </c>
      <c r="AG573">
        <v>11</v>
      </c>
      <c r="AH573">
        <v>2</v>
      </c>
      <c r="AI573">
        <v>2</v>
      </c>
      <c r="AJ573">
        <v>0</v>
      </c>
      <c r="AK573">
        <v>2</v>
      </c>
      <c r="AL573" t="s">
        <v>1807</v>
      </c>
      <c r="AM573" t="s">
        <v>1808</v>
      </c>
      <c r="AN573" t="s">
        <v>1809</v>
      </c>
      <c r="AO573" t="s">
        <v>4014</v>
      </c>
      <c r="AP573" t="s">
        <v>74</v>
      </c>
      <c r="AQ573" t="s">
        <v>74</v>
      </c>
      <c r="AR573" t="s">
        <v>4016</v>
      </c>
      <c r="AS573" t="s">
        <v>4017</v>
      </c>
      <c r="AT573" t="s">
        <v>7134</v>
      </c>
      <c r="AU573">
        <v>2002</v>
      </c>
      <c r="AV573">
        <v>42</v>
      </c>
      <c r="AW573">
        <v>6</v>
      </c>
      <c r="AX573" t="s">
        <v>74</v>
      </c>
      <c r="AY573" t="s">
        <v>74</v>
      </c>
      <c r="AZ573" t="s">
        <v>74</v>
      </c>
      <c r="BA573" t="s">
        <v>74</v>
      </c>
      <c r="BB573">
        <v>781</v>
      </c>
      <c r="BC573">
        <v>788</v>
      </c>
      <c r="BD573" t="s">
        <v>74</v>
      </c>
      <c r="BE573" t="s">
        <v>74</v>
      </c>
      <c r="BF573" t="s">
        <v>74</v>
      </c>
      <c r="BG573" t="s">
        <v>74</v>
      </c>
      <c r="BH573" t="s">
        <v>74</v>
      </c>
      <c r="BI573">
        <v>8</v>
      </c>
      <c r="BJ573" t="s">
        <v>1394</v>
      </c>
      <c r="BK573" t="s">
        <v>569</v>
      </c>
      <c r="BL573" t="s">
        <v>1394</v>
      </c>
      <c r="BM573" t="s">
        <v>8051</v>
      </c>
      <c r="BN573" t="s">
        <v>74</v>
      </c>
      <c r="BO573" t="s">
        <v>74</v>
      </c>
      <c r="BP573" t="s">
        <v>74</v>
      </c>
      <c r="BQ573" t="s">
        <v>74</v>
      </c>
      <c r="BR573" t="s">
        <v>98</v>
      </c>
      <c r="BS573" t="s">
        <v>8059</v>
      </c>
      <c r="BT573" t="str">
        <f>HYPERLINK("https%3A%2F%2Fwww.webofscience.com%2Fwos%2Fwoscc%2Ffull-record%2FWOS:000180132500003","View Full Record in Web of Science")</f>
        <v>View Full Record in Web of Science</v>
      </c>
    </row>
    <row r="574" spans="1:72" x14ac:dyDescent="0.15">
      <c r="A574" t="s">
        <v>552</v>
      </c>
      <c r="B574" t="s">
        <v>8060</v>
      </c>
      <c r="C574" t="s">
        <v>74</v>
      </c>
      <c r="D574" t="s">
        <v>74</v>
      </c>
      <c r="E574" t="s">
        <v>74</v>
      </c>
      <c r="F574" t="s">
        <v>8060</v>
      </c>
      <c r="G574" t="s">
        <v>74</v>
      </c>
      <c r="H574" t="s">
        <v>74</v>
      </c>
      <c r="I574" t="s">
        <v>8061</v>
      </c>
      <c r="J574" t="s">
        <v>4134</v>
      </c>
      <c r="K574" t="s">
        <v>74</v>
      </c>
      <c r="L574" t="s">
        <v>74</v>
      </c>
      <c r="M574" t="s">
        <v>78</v>
      </c>
      <c r="N574" t="s">
        <v>1114</v>
      </c>
      <c r="O574" t="s">
        <v>74</v>
      </c>
      <c r="P574" t="s">
        <v>74</v>
      </c>
      <c r="Q574" t="s">
        <v>74</v>
      </c>
      <c r="R574" t="s">
        <v>74</v>
      </c>
      <c r="S574" t="s">
        <v>74</v>
      </c>
      <c r="T574" t="s">
        <v>8062</v>
      </c>
      <c r="U574" t="s">
        <v>8063</v>
      </c>
      <c r="V574" t="s">
        <v>8064</v>
      </c>
      <c r="W574" t="s">
        <v>583</v>
      </c>
      <c r="X574" t="s">
        <v>584</v>
      </c>
      <c r="Y574" t="s">
        <v>8065</v>
      </c>
      <c r="Z574" t="s">
        <v>8066</v>
      </c>
      <c r="AA574" t="s">
        <v>74</v>
      </c>
      <c r="AB574" t="s">
        <v>74</v>
      </c>
      <c r="AC574" t="s">
        <v>74</v>
      </c>
      <c r="AD574" t="s">
        <v>74</v>
      </c>
      <c r="AE574" t="s">
        <v>74</v>
      </c>
      <c r="AF574" t="s">
        <v>74</v>
      </c>
      <c r="AG574">
        <v>105</v>
      </c>
      <c r="AH574">
        <v>50</v>
      </c>
      <c r="AI574">
        <v>59</v>
      </c>
      <c r="AJ574">
        <v>3</v>
      </c>
      <c r="AK574">
        <v>21</v>
      </c>
      <c r="AL574" t="s">
        <v>3155</v>
      </c>
      <c r="AM574" t="s">
        <v>1861</v>
      </c>
      <c r="AN574" t="s">
        <v>3156</v>
      </c>
      <c r="AO574" t="s">
        <v>4142</v>
      </c>
      <c r="AP574" t="s">
        <v>8067</v>
      </c>
      <c r="AQ574" t="s">
        <v>74</v>
      </c>
      <c r="AR574" t="s">
        <v>4143</v>
      </c>
      <c r="AS574" t="s">
        <v>4144</v>
      </c>
      <c r="AT574" t="s">
        <v>7416</v>
      </c>
      <c r="AU574">
        <v>2002</v>
      </c>
      <c r="AV574">
        <v>187</v>
      </c>
      <c r="AW574" t="s">
        <v>1866</v>
      </c>
      <c r="AX574" t="s">
        <v>74</v>
      </c>
      <c r="AY574" t="s">
        <v>74</v>
      </c>
      <c r="AZ574" t="s">
        <v>74</v>
      </c>
      <c r="BA574" t="s">
        <v>74</v>
      </c>
      <c r="BB574">
        <v>151</v>
      </c>
      <c r="BC574">
        <v>177</v>
      </c>
      <c r="BD574" t="s">
        <v>8068</v>
      </c>
      <c r="BE574" t="s">
        <v>8069</v>
      </c>
      <c r="BF574" t="str">
        <f>HYPERLINK("http://dx.doi.org/10.1016/S0031-0182(02)00516-3","http://dx.doi.org/10.1016/S0031-0182(02)00516-3")</f>
        <v>http://dx.doi.org/10.1016/S0031-0182(02)00516-3</v>
      </c>
      <c r="BG574" t="s">
        <v>74</v>
      </c>
      <c r="BH574" t="s">
        <v>74</v>
      </c>
      <c r="BI574">
        <v>27</v>
      </c>
      <c r="BJ574" t="s">
        <v>4147</v>
      </c>
      <c r="BK574" t="s">
        <v>569</v>
      </c>
      <c r="BL574" t="s">
        <v>4148</v>
      </c>
      <c r="BM574" t="s">
        <v>8070</v>
      </c>
      <c r="BN574" t="s">
        <v>74</v>
      </c>
      <c r="BO574" t="s">
        <v>74</v>
      </c>
      <c r="BP574" t="s">
        <v>74</v>
      </c>
      <c r="BQ574" t="s">
        <v>74</v>
      </c>
      <c r="BR574" t="s">
        <v>98</v>
      </c>
      <c r="BS574" t="s">
        <v>8071</v>
      </c>
      <c r="BT574" t="str">
        <f>HYPERLINK("https%3A%2F%2Fwww.webofscience.com%2Fwos%2Fwoscc%2Ffull-record%2FWOS:000178922500008","View Full Record in Web of Science")</f>
        <v>View Full Record in Web of Science</v>
      </c>
    </row>
    <row r="575" spans="1:72" x14ac:dyDescent="0.15">
      <c r="A575" t="s">
        <v>552</v>
      </c>
      <c r="B575" t="s">
        <v>8072</v>
      </c>
      <c r="C575" t="s">
        <v>74</v>
      </c>
      <c r="D575" t="s">
        <v>74</v>
      </c>
      <c r="E575" t="s">
        <v>74</v>
      </c>
      <c r="F575" t="s">
        <v>8072</v>
      </c>
      <c r="G575" t="s">
        <v>74</v>
      </c>
      <c r="H575" t="s">
        <v>74</v>
      </c>
      <c r="I575" t="s">
        <v>8073</v>
      </c>
      <c r="J575" t="s">
        <v>4134</v>
      </c>
      <c r="K575" t="s">
        <v>74</v>
      </c>
      <c r="L575" t="s">
        <v>74</v>
      </c>
      <c r="M575" t="s">
        <v>78</v>
      </c>
      <c r="N575" t="s">
        <v>1114</v>
      </c>
      <c r="O575" t="s">
        <v>74</v>
      </c>
      <c r="P575" t="s">
        <v>74</v>
      </c>
      <c r="Q575" t="s">
        <v>74</v>
      </c>
      <c r="R575" t="s">
        <v>74</v>
      </c>
      <c r="S575" t="s">
        <v>74</v>
      </c>
      <c r="T575" t="s">
        <v>8074</v>
      </c>
      <c r="U575" t="s">
        <v>8075</v>
      </c>
      <c r="V575" t="s">
        <v>8076</v>
      </c>
      <c r="W575" t="s">
        <v>8077</v>
      </c>
      <c r="X575" t="s">
        <v>8078</v>
      </c>
      <c r="Y575" t="s">
        <v>8079</v>
      </c>
      <c r="Z575" t="s">
        <v>8080</v>
      </c>
      <c r="AA575" t="s">
        <v>8081</v>
      </c>
      <c r="AB575" t="s">
        <v>8082</v>
      </c>
      <c r="AC575" t="s">
        <v>74</v>
      </c>
      <c r="AD575" t="s">
        <v>74</v>
      </c>
      <c r="AE575" t="s">
        <v>74</v>
      </c>
      <c r="AF575" t="s">
        <v>74</v>
      </c>
      <c r="AG575">
        <v>152</v>
      </c>
      <c r="AH575">
        <v>13</v>
      </c>
      <c r="AI575">
        <v>14</v>
      </c>
      <c r="AJ575">
        <v>1</v>
      </c>
      <c r="AK575">
        <v>15</v>
      </c>
      <c r="AL575" t="s">
        <v>3155</v>
      </c>
      <c r="AM575" t="s">
        <v>1861</v>
      </c>
      <c r="AN575" t="s">
        <v>3156</v>
      </c>
      <c r="AO575" t="s">
        <v>4142</v>
      </c>
      <c r="AP575" t="s">
        <v>8067</v>
      </c>
      <c r="AQ575" t="s">
        <v>74</v>
      </c>
      <c r="AR575" t="s">
        <v>4143</v>
      </c>
      <c r="AS575" t="s">
        <v>4144</v>
      </c>
      <c r="AT575" t="s">
        <v>7416</v>
      </c>
      <c r="AU575">
        <v>2002</v>
      </c>
      <c r="AV575">
        <v>187</v>
      </c>
      <c r="AW575" t="s">
        <v>1866</v>
      </c>
      <c r="AX575" t="s">
        <v>74</v>
      </c>
      <c r="AY575" t="s">
        <v>74</v>
      </c>
      <c r="AZ575" t="s">
        <v>74</v>
      </c>
      <c r="BA575" t="s">
        <v>74</v>
      </c>
      <c r="BB575">
        <v>179</v>
      </c>
      <c r="BC575">
        <v>206</v>
      </c>
      <c r="BD575" t="s">
        <v>8083</v>
      </c>
      <c r="BE575" t="s">
        <v>8084</v>
      </c>
      <c r="BF575" t="str">
        <f>HYPERLINK("http://dx.doi.org/10.1016/S0031-0182(02)00529-1","http://dx.doi.org/10.1016/S0031-0182(02)00529-1")</f>
        <v>http://dx.doi.org/10.1016/S0031-0182(02)00529-1</v>
      </c>
      <c r="BG575" t="s">
        <v>74</v>
      </c>
      <c r="BH575" t="s">
        <v>74</v>
      </c>
      <c r="BI575">
        <v>28</v>
      </c>
      <c r="BJ575" t="s">
        <v>4147</v>
      </c>
      <c r="BK575" t="s">
        <v>569</v>
      </c>
      <c r="BL575" t="s">
        <v>4148</v>
      </c>
      <c r="BM575" t="s">
        <v>8070</v>
      </c>
      <c r="BN575" t="s">
        <v>74</v>
      </c>
      <c r="BO575" t="s">
        <v>572</v>
      </c>
      <c r="BP575" t="s">
        <v>74</v>
      </c>
      <c r="BQ575" t="s">
        <v>74</v>
      </c>
      <c r="BR575" t="s">
        <v>98</v>
      </c>
      <c r="BS575" t="s">
        <v>8085</v>
      </c>
      <c r="BT575" t="str">
        <f>HYPERLINK("https%3A%2F%2Fwww.webofscience.com%2Fwos%2Fwoscc%2Ffull-record%2FWOS:000178922500009","View Full Record in Web of Science")</f>
        <v>View Full Record in Web of Science</v>
      </c>
    </row>
    <row r="576" spans="1:72" x14ac:dyDescent="0.15">
      <c r="A576" t="s">
        <v>552</v>
      </c>
      <c r="B576" t="s">
        <v>8086</v>
      </c>
      <c r="C576" t="s">
        <v>74</v>
      </c>
      <c r="D576" t="s">
        <v>74</v>
      </c>
      <c r="E576" t="s">
        <v>74</v>
      </c>
      <c r="F576" t="s">
        <v>8086</v>
      </c>
      <c r="G576" t="s">
        <v>74</v>
      </c>
      <c r="H576" t="s">
        <v>74</v>
      </c>
      <c r="I576" t="s">
        <v>8087</v>
      </c>
      <c r="J576" t="s">
        <v>4431</v>
      </c>
      <c r="K576" t="s">
        <v>74</v>
      </c>
      <c r="L576" t="s">
        <v>74</v>
      </c>
      <c r="M576" t="s">
        <v>78</v>
      </c>
      <c r="N576" t="s">
        <v>775</v>
      </c>
      <c r="O576" t="s">
        <v>74</v>
      </c>
      <c r="P576" t="s">
        <v>74</v>
      </c>
      <c r="Q576" t="s">
        <v>74</v>
      </c>
      <c r="R576" t="s">
        <v>74</v>
      </c>
      <c r="S576" t="s">
        <v>74</v>
      </c>
      <c r="T576" t="s">
        <v>74</v>
      </c>
      <c r="U576" t="s">
        <v>8088</v>
      </c>
      <c r="V576" t="s">
        <v>8089</v>
      </c>
      <c r="W576" t="s">
        <v>8090</v>
      </c>
      <c r="X576" t="s">
        <v>8091</v>
      </c>
      <c r="Y576" t="s">
        <v>8092</v>
      </c>
      <c r="Z576" t="s">
        <v>74</v>
      </c>
      <c r="AA576" t="s">
        <v>74</v>
      </c>
      <c r="AB576" t="s">
        <v>74</v>
      </c>
      <c r="AC576" t="s">
        <v>74</v>
      </c>
      <c r="AD576" t="s">
        <v>74</v>
      </c>
      <c r="AE576" t="s">
        <v>74</v>
      </c>
      <c r="AF576" t="s">
        <v>74</v>
      </c>
      <c r="AG576">
        <v>16</v>
      </c>
      <c r="AH576">
        <v>15</v>
      </c>
      <c r="AI576">
        <v>16</v>
      </c>
      <c r="AJ576">
        <v>0</v>
      </c>
      <c r="AK576">
        <v>15</v>
      </c>
      <c r="AL576" t="s">
        <v>1259</v>
      </c>
      <c r="AM576" t="s">
        <v>561</v>
      </c>
      <c r="AN576" t="s">
        <v>1260</v>
      </c>
      <c r="AO576" t="s">
        <v>4435</v>
      </c>
      <c r="AP576" t="s">
        <v>74</v>
      </c>
      <c r="AQ576" t="s">
        <v>74</v>
      </c>
      <c r="AR576" t="s">
        <v>4436</v>
      </c>
      <c r="AS576" t="s">
        <v>4437</v>
      </c>
      <c r="AT576" t="s">
        <v>7090</v>
      </c>
      <c r="AU576">
        <v>2002</v>
      </c>
      <c r="AV576">
        <v>25</v>
      </c>
      <c r="AW576">
        <v>11</v>
      </c>
      <c r="AX576" t="s">
        <v>74</v>
      </c>
      <c r="AY576" t="s">
        <v>74</v>
      </c>
      <c r="AZ576" t="s">
        <v>74</v>
      </c>
      <c r="BA576" t="s">
        <v>74</v>
      </c>
      <c r="BB576">
        <v>799</v>
      </c>
      <c r="BC576">
        <v>807</v>
      </c>
      <c r="BD576" t="s">
        <v>74</v>
      </c>
      <c r="BE576" t="s">
        <v>8093</v>
      </c>
      <c r="BF576" t="str">
        <f>HYPERLINK("http://dx.doi.org/10.1007/s00300-002-0432-5","http://dx.doi.org/10.1007/s00300-002-0432-5")</f>
        <v>http://dx.doi.org/10.1007/s00300-002-0432-5</v>
      </c>
      <c r="BG576" t="s">
        <v>74</v>
      </c>
      <c r="BH576" t="s">
        <v>74</v>
      </c>
      <c r="BI576">
        <v>9</v>
      </c>
      <c r="BJ576" t="s">
        <v>4439</v>
      </c>
      <c r="BK576" t="s">
        <v>569</v>
      </c>
      <c r="BL576" t="s">
        <v>4440</v>
      </c>
      <c r="BM576" t="s">
        <v>8094</v>
      </c>
      <c r="BN576" t="s">
        <v>74</v>
      </c>
      <c r="BO576" t="s">
        <v>74</v>
      </c>
      <c r="BP576" t="s">
        <v>74</v>
      </c>
      <c r="BQ576" t="s">
        <v>74</v>
      </c>
      <c r="BR576" t="s">
        <v>98</v>
      </c>
      <c r="BS576" t="s">
        <v>8095</v>
      </c>
      <c r="BT576" t="str">
        <f>HYPERLINK("https%3A%2F%2Fwww.webofscience.com%2Fwos%2Fwoscc%2Ffull-record%2FWOS:000179204400001","View Full Record in Web of Science")</f>
        <v>View Full Record in Web of Science</v>
      </c>
    </row>
    <row r="577" spans="1:72" x14ac:dyDescent="0.15">
      <c r="A577" t="s">
        <v>552</v>
      </c>
      <c r="B577" t="s">
        <v>8096</v>
      </c>
      <c r="C577" t="s">
        <v>74</v>
      </c>
      <c r="D577" t="s">
        <v>74</v>
      </c>
      <c r="E577" t="s">
        <v>74</v>
      </c>
      <c r="F577" t="s">
        <v>8096</v>
      </c>
      <c r="G577" t="s">
        <v>74</v>
      </c>
      <c r="H577" t="s">
        <v>74</v>
      </c>
      <c r="I577" t="s">
        <v>8097</v>
      </c>
      <c r="J577" t="s">
        <v>4431</v>
      </c>
      <c r="K577" t="s">
        <v>74</v>
      </c>
      <c r="L577" t="s">
        <v>74</v>
      </c>
      <c r="M577" t="s">
        <v>78</v>
      </c>
      <c r="N577" t="s">
        <v>775</v>
      </c>
      <c r="O577" t="s">
        <v>74</v>
      </c>
      <c r="P577" t="s">
        <v>74</v>
      </c>
      <c r="Q577" t="s">
        <v>74</v>
      </c>
      <c r="R577" t="s">
        <v>74</v>
      </c>
      <c r="S577" t="s">
        <v>74</v>
      </c>
      <c r="T577" t="s">
        <v>74</v>
      </c>
      <c r="U577" t="s">
        <v>8098</v>
      </c>
      <c r="V577" t="s">
        <v>8099</v>
      </c>
      <c r="W577" t="s">
        <v>8100</v>
      </c>
      <c r="X577" t="s">
        <v>8101</v>
      </c>
      <c r="Y577" t="s">
        <v>8102</v>
      </c>
      <c r="Z577" t="s">
        <v>8103</v>
      </c>
      <c r="AA577" t="s">
        <v>8104</v>
      </c>
      <c r="AB577" t="s">
        <v>8105</v>
      </c>
      <c r="AC577" t="s">
        <v>74</v>
      </c>
      <c r="AD577" t="s">
        <v>74</v>
      </c>
      <c r="AE577" t="s">
        <v>74</v>
      </c>
      <c r="AF577" t="s">
        <v>74</v>
      </c>
      <c r="AG577">
        <v>49</v>
      </c>
      <c r="AH577">
        <v>83</v>
      </c>
      <c r="AI577">
        <v>92</v>
      </c>
      <c r="AJ577">
        <v>0</v>
      </c>
      <c r="AK577">
        <v>10</v>
      </c>
      <c r="AL577" t="s">
        <v>1230</v>
      </c>
      <c r="AM577" t="s">
        <v>561</v>
      </c>
      <c r="AN577" t="s">
        <v>1231</v>
      </c>
      <c r="AO577" t="s">
        <v>4435</v>
      </c>
      <c r="AP577" t="s">
        <v>4450</v>
      </c>
      <c r="AQ577" t="s">
        <v>74</v>
      </c>
      <c r="AR577" t="s">
        <v>4436</v>
      </c>
      <c r="AS577" t="s">
        <v>4437</v>
      </c>
      <c r="AT577" t="s">
        <v>7090</v>
      </c>
      <c r="AU577">
        <v>2002</v>
      </c>
      <c r="AV577">
        <v>25</v>
      </c>
      <c r="AW577">
        <v>11</v>
      </c>
      <c r="AX577" t="s">
        <v>74</v>
      </c>
      <c r="AY577" t="s">
        <v>74</v>
      </c>
      <c r="AZ577" t="s">
        <v>74</v>
      </c>
      <c r="BA577" t="s">
        <v>74</v>
      </c>
      <c r="BB577">
        <v>818</v>
      </c>
      <c r="BC577">
        <v>826</v>
      </c>
      <c r="BD577" t="s">
        <v>74</v>
      </c>
      <c r="BE577" t="s">
        <v>8106</v>
      </c>
      <c r="BF577" t="str">
        <f>HYPERLINK("http://dx.doi.org/10.1007/s00300-002-0414-7","http://dx.doi.org/10.1007/s00300-002-0414-7")</f>
        <v>http://dx.doi.org/10.1007/s00300-002-0414-7</v>
      </c>
      <c r="BG577" t="s">
        <v>74</v>
      </c>
      <c r="BH577" t="s">
        <v>74</v>
      </c>
      <c r="BI577">
        <v>9</v>
      </c>
      <c r="BJ577" t="s">
        <v>4439</v>
      </c>
      <c r="BK577" t="s">
        <v>569</v>
      </c>
      <c r="BL577" t="s">
        <v>4440</v>
      </c>
      <c r="BM577" t="s">
        <v>8094</v>
      </c>
      <c r="BN577" t="s">
        <v>74</v>
      </c>
      <c r="BO577" t="s">
        <v>74</v>
      </c>
      <c r="BP577" t="s">
        <v>74</v>
      </c>
      <c r="BQ577" t="s">
        <v>74</v>
      </c>
      <c r="BR577" t="s">
        <v>98</v>
      </c>
      <c r="BS577" t="s">
        <v>8107</v>
      </c>
      <c r="BT577" t="str">
        <f>HYPERLINK("https%3A%2F%2Fwww.webofscience.com%2Fwos%2Fwoscc%2Ffull-record%2FWOS:000179204400003","View Full Record in Web of Science")</f>
        <v>View Full Record in Web of Science</v>
      </c>
    </row>
    <row r="578" spans="1:72" x14ac:dyDescent="0.15">
      <c r="A578" t="s">
        <v>552</v>
      </c>
      <c r="B578" t="s">
        <v>8108</v>
      </c>
      <c r="C578" t="s">
        <v>74</v>
      </c>
      <c r="D578" t="s">
        <v>74</v>
      </c>
      <c r="E578" t="s">
        <v>74</v>
      </c>
      <c r="F578" t="s">
        <v>8108</v>
      </c>
      <c r="G578" t="s">
        <v>74</v>
      </c>
      <c r="H578" t="s">
        <v>74</v>
      </c>
      <c r="I578" t="s">
        <v>8109</v>
      </c>
      <c r="J578" t="s">
        <v>4431</v>
      </c>
      <c r="K578" t="s">
        <v>74</v>
      </c>
      <c r="L578" t="s">
        <v>74</v>
      </c>
      <c r="M578" t="s">
        <v>78</v>
      </c>
      <c r="N578" t="s">
        <v>775</v>
      </c>
      <c r="O578" t="s">
        <v>74</v>
      </c>
      <c r="P578" t="s">
        <v>74</v>
      </c>
      <c r="Q578" t="s">
        <v>74</v>
      </c>
      <c r="R578" t="s">
        <v>74</v>
      </c>
      <c r="S578" t="s">
        <v>74</v>
      </c>
      <c r="T578" t="s">
        <v>74</v>
      </c>
      <c r="U578" t="s">
        <v>8110</v>
      </c>
      <c r="V578" t="s">
        <v>8111</v>
      </c>
      <c r="W578" t="s">
        <v>8112</v>
      </c>
      <c r="X578" t="s">
        <v>8113</v>
      </c>
      <c r="Y578" t="s">
        <v>8114</v>
      </c>
      <c r="Z578" t="s">
        <v>8115</v>
      </c>
      <c r="AA578" t="s">
        <v>74</v>
      </c>
      <c r="AB578" t="s">
        <v>8116</v>
      </c>
      <c r="AC578" t="s">
        <v>74</v>
      </c>
      <c r="AD578" t="s">
        <v>74</v>
      </c>
      <c r="AE578" t="s">
        <v>74</v>
      </c>
      <c r="AF578" t="s">
        <v>74</v>
      </c>
      <c r="AG578">
        <v>24</v>
      </c>
      <c r="AH578">
        <v>14</v>
      </c>
      <c r="AI578">
        <v>17</v>
      </c>
      <c r="AJ578">
        <v>1</v>
      </c>
      <c r="AK578">
        <v>4</v>
      </c>
      <c r="AL578" t="s">
        <v>1230</v>
      </c>
      <c r="AM578" t="s">
        <v>561</v>
      </c>
      <c r="AN578" t="s">
        <v>1231</v>
      </c>
      <c r="AO578" t="s">
        <v>4435</v>
      </c>
      <c r="AP578" t="s">
        <v>4450</v>
      </c>
      <c r="AQ578" t="s">
        <v>74</v>
      </c>
      <c r="AR578" t="s">
        <v>4436</v>
      </c>
      <c r="AS578" t="s">
        <v>4437</v>
      </c>
      <c r="AT578" t="s">
        <v>7090</v>
      </c>
      <c r="AU578">
        <v>2002</v>
      </c>
      <c r="AV578">
        <v>25</v>
      </c>
      <c r="AW578">
        <v>11</v>
      </c>
      <c r="AX578" t="s">
        <v>74</v>
      </c>
      <c r="AY578" t="s">
        <v>74</v>
      </c>
      <c r="AZ578" t="s">
        <v>74</v>
      </c>
      <c r="BA578" t="s">
        <v>74</v>
      </c>
      <c r="BB578">
        <v>827</v>
      </c>
      <c r="BC578">
        <v>832</v>
      </c>
      <c r="BD578" t="s">
        <v>74</v>
      </c>
      <c r="BE578" t="s">
        <v>8117</v>
      </c>
      <c r="BF578" t="str">
        <f>HYPERLINK("http://dx.doi.org/10.1007/s00300-002-0409-4","http://dx.doi.org/10.1007/s00300-002-0409-4")</f>
        <v>http://dx.doi.org/10.1007/s00300-002-0409-4</v>
      </c>
      <c r="BG578" t="s">
        <v>74</v>
      </c>
      <c r="BH578" t="s">
        <v>74</v>
      </c>
      <c r="BI578">
        <v>6</v>
      </c>
      <c r="BJ578" t="s">
        <v>4439</v>
      </c>
      <c r="BK578" t="s">
        <v>569</v>
      </c>
      <c r="BL578" t="s">
        <v>4440</v>
      </c>
      <c r="BM578" t="s">
        <v>8094</v>
      </c>
      <c r="BN578" t="s">
        <v>74</v>
      </c>
      <c r="BO578" t="s">
        <v>74</v>
      </c>
      <c r="BP578" t="s">
        <v>74</v>
      </c>
      <c r="BQ578" t="s">
        <v>74</v>
      </c>
      <c r="BR578" t="s">
        <v>98</v>
      </c>
      <c r="BS578" t="s">
        <v>8118</v>
      </c>
      <c r="BT578" t="str">
        <f>HYPERLINK("https%3A%2F%2Fwww.webofscience.com%2Fwos%2Fwoscc%2Ffull-record%2FWOS:000179204400004","View Full Record in Web of Science")</f>
        <v>View Full Record in Web of Science</v>
      </c>
    </row>
    <row r="579" spans="1:72" x14ac:dyDescent="0.15">
      <c r="A579" t="s">
        <v>552</v>
      </c>
      <c r="B579" t="s">
        <v>8119</v>
      </c>
      <c r="C579" t="s">
        <v>74</v>
      </c>
      <c r="D579" t="s">
        <v>74</v>
      </c>
      <c r="E579" t="s">
        <v>74</v>
      </c>
      <c r="F579" t="s">
        <v>8119</v>
      </c>
      <c r="G579" t="s">
        <v>74</v>
      </c>
      <c r="H579" t="s">
        <v>74</v>
      </c>
      <c r="I579" t="s">
        <v>8120</v>
      </c>
      <c r="J579" t="s">
        <v>4431</v>
      </c>
      <c r="K579" t="s">
        <v>74</v>
      </c>
      <c r="L579" t="s">
        <v>74</v>
      </c>
      <c r="M579" t="s">
        <v>78</v>
      </c>
      <c r="N579" t="s">
        <v>775</v>
      </c>
      <c r="O579" t="s">
        <v>74</v>
      </c>
      <c r="P579" t="s">
        <v>74</v>
      </c>
      <c r="Q579" t="s">
        <v>74</v>
      </c>
      <c r="R579" t="s">
        <v>74</v>
      </c>
      <c r="S579" t="s">
        <v>74</v>
      </c>
      <c r="T579" t="s">
        <v>74</v>
      </c>
      <c r="U579" t="s">
        <v>8121</v>
      </c>
      <c r="V579" t="s">
        <v>8122</v>
      </c>
      <c r="W579" t="s">
        <v>8123</v>
      </c>
      <c r="X579" t="s">
        <v>8124</v>
      </c>
      <c r="Y579" t="s">
        <v>8125</v>
      </c>
      <c r="Z579" t="s">
        <v>8126</v>
      </c>
      <c r="AA579" t="s">
        <v>8127</v>
      </c>
      <c r="AB579" t="s">
        <v>8128</v>
      </c>
      <c r="AC579" t="s">
        <v>74</v>
      </c>
      <c r="AD579" t="s">
        <v>74</v>
      </c>
      <c r="AE579" t="s">
        <v>74</v>
      </c>
      <c r="AF579" t="s">
        <v>74</v>
      </c>
      <c r="AG579">
        <v>32</v>
      </c>
      <c r="AH579">
        <v>45</v>
      </c>
      <c r="AI579">
        <v>56</v>
      </c>
      <c r="AJ579">
        <v>0</v>
      </c>
      <c r="AK579">
        <v>20</v>
      </c>
      <c r="AL579" t="s">
        <v>1230</v>
      </c>
      <c r="AM579" t="s">
        <v>561</v>
      </c>
      <c r="AN579" t="s">
        <v>1231</v>
      </c>
      <c r="AO579" t="s">
        <v>4435</v>
      </c>
      <c r="AP579" t="s">
        <v>4450</v>
      </c>
      <c r="AQ579" t="s">
        <v>74</v>
      </c>
      <c r="AR579" t="s">
        <v>4436</v>
      </c>
      <c r="AS579" t="s">
        <v>4437</v>
      </c>
      <c r="AT579" t="s">
        <v>7090</v>
      </c>
      <c r="AU579">
        <v>2002</v>
      </c>
      <c r="AV579">
        <v>25</v>
      </c>
      <c r="AW579">
        <v>11</v>
      </c>
      <c r="AX579" t="s">
        <v>74</v>
      </c>
      <c r="AY579" t="s">
        <v>74</v>
      </c>
      <c r="AZ579" t="s">
        <v>74</v>
      </c>
      <c r="BA579" t="s">
        <v>74</v>
      </c>
      <c r="BB579">
        <v>833</v>
      </c>
      <c r="BC579">
        <v>837</v>
      </c>
      <c r="BD579" t="s">
        <v>74</v>
      </c>
      <c r="BE579" t="s">
        <v>8129</v>
      </c>
      <c r="BF579" t="str">
        <f>HYPERLINK("http://dx.doi.org/10.1007/s00300-002-0424-5","http://dx.doi.org/10.1007/s00300-002-0424-5")</f>
        <v>http://dx.doi.org/10.1007/s00300-002-0424-5</v>
      </c>
      <c r="BG579" t="s">
        <v>74</v>
      </c>
      <c r="BH579" t="s">
        <v>74</v>
      </c>
      <c r="BI579">
        <v>5</v>
      </c>
      <c r="BJ579" t="s">
        <v>4439</v>
      </c>
      <c r="BK579" t="s">
        <v>569</v>
      </c>
      <c r="BL579" t="s">
        <v>4440</v>
      </c>
      <c r="BM579" t="s">
        <v>8094</v>
      </c>
      <c r="BN579" t="s">
        <v>74</v>
      </c>
      <c r="BO579" t="s">
        <v>74</v>
      </c>
      <c r="BP579" t="s">
        <v>74</v>
      </c>
      <c r="BQ579" t="s">
        <v>74</v>
      </c>
      <c r="BR579" t="s">
        <v>98</v>
      </c>
      <c r="BS579" t="s">
        <v>8130</v>
      </c>
      <c r="BT579" t="str">
        <f>HYPERLINK("https%3A%2F%2Fwww.webofscience.com%2Fwos%2Fwoscc%2Ffull-record%2FWOS:000179204400005","View Full Record in Web of Science")</f>
        <v>View Full Record in Web of Science</v>
      </c>
    </row>
    <row r="580" spans="1:72" x14ac:dyDescent="0.15">
      <c r="A580" t="s">
        <v>552</v>
      </c>
      <c r="B580" t="s">
        <v>8131</v>
      </c>
      <c r="C580" t="s">
        <v>74</v>
      </c>
      <c r="D580" t="s">
        <v>74</v>
      </c>
      <c r="E580" t="s">
        <v>74</v>
      </c>
      <c r="F580" t="s">
        <v>8131</v>
      </c>
      <c r="G580" t="s">
        <v>74</v>
      </c>
      <c r="H580" t="s">
        <v>74</v>
      </c>
      <c r="I580" t="s">
        <v>8132</v>
      </c>
      <c r="J580" t="s">
        <v>4431</v>
      </c>
      <c r="K580" t="s">
        <v>74</v>
      </c>
      <c r="L580" t="s">
        <v>74</v>
      </c>
      <c r="M580" t="s">
        <v>78</v>
      </c>
      <c r="N580" t="s">
        <v>775</v>
      </c>
      <c r="O580" t="s">
        <v>74</v>
      </c>
      <c r="P580" t="s">
        <v>74</v>
      </c>
      <c r="Q580" t="s">
        <v>74</v>
      </c>
      <c r="R580" t="s">
        <v>74</v>
      </c>
      <c r="S580" t="s">
        <v>74</v>
      </c>
      <c r="T580" t="s">
        <v>74</v>
      </c>
      <c r="U580" t="s">
        <v>8133</v>
      </c>
      <c r="V580" t="s">
        <v>8134</v>
      </c>
      <c r="W580" t="s">
        <v>8135</v>
      </c>
      <c r="X580" t="s">
        <v>8136</v>
      </c>
      <c r="Y580" t="s">
        <v>8137</v>
      </c>
      <c r="Z580" t="s">
        <v>74</v>
      </c>
      <c r="AA580" t="s">
        <v>8138</v>
      </c>
      <c r="AB580" t="s">
        <v>8139</v>
      </c>
      <c r="AC580" t="s">
        <v>74</v>
      </c>
      <c r="AD580" t="s">
        <v>74</v>
      </c>
      <c r="AE580" t="s">
        <v>74</v>
      </c>
      <c r="AF580" t="s">
        <v>74</v>
      </c>
      <c r="AG580">
        <v>30</v>
      </c>
      <c r="AH580">
        <v>30</v>
      </c>
      <c r="AI580">
        <v>32</v>
      </c>
      <c r="AJ580">
        <v>0</v>
      </c>
      <c r="AK580">
        <v>17</v>
      </c>
      <c r="AL580" t="s">
        <v>1259</v>
      </c>
      <c r="AM580" t="s">
        <v>561</v>
      </c>
      <c r="AN580" t="s">
        <v>1260</v>
      </c>
      <c r="AO580" t="s">
        <v>4435</v>
      </c>
      <c r="AP580" t="s">
        <v>74</v>
      </c>
      <c r="AQ580" t="s">
        <v>74</v>
      </c>
      <c r="AR580" t="s">
        <v>4436</v>
      </c>
      <c r="AS580" t="s">
        <v>4437</v>
      </c>
      <c r="AT580" t="s">
        <v>7090</v>
      </c>
      <c r="AU580">
        <v>2002</v>
      </c>
      <c r="AV580">
        <v>25</v>
      </c>
      <c r="AW580">
        <v>11</v>
      </c>
      <c r="AX580" t="s">
        <v>74</v>
      </c>
      <c r="AY580" t="s">
        <v>74</v>
      </c>
      <c r="AZ580" t="s">
        <v>74</v>
      </c>
      <c r="BA580" t="s">
        <v>74</v>
      </c>
      <c r="BB580">
        <v>838</v>
      </c>
      <c r="BC580">
        <v>842</v>
      </c>
      <c r="BD580" t="s">
        <v>74</v>
      </c>
      <c r="BE580" t="s">
        <v>8140</v>
      </c>
      <c r="BF580" t="str">
        <f>HYPERLINK("http://dx.doi.org/10.1007/s00300-002-0427-2","http://dx.doi.org/10.1007/s00300-002-0427-2")</f>
        <v>http://dx.doi.org/10.1007/s00300-002-0427-2</v>
      </c>
      <c r="BG580" t="s">
        <v>74</v>
      </c>
      <c r="BH580" t="s">
        <v>74</v>
      </c>
      <c r="BI580">
        <v>5</v>
      </c>
      <c r="BJ580" t="s">
        <v>4439</v>
      </c>
      <c r="BK580" t="s">
        <v>569</v>
      </c>
      <c r="BL580" t="s">
        <v>4440</v>
      </c>
      <c r="BM580" t="s">
        <v>8094</v>
      </c>
      <c r="BN580" t="s">
        <v>74</v>
      </c>
      <c r="BO580" t="s">
        <v>74</v>
      </c>
      <c r="BP580" t="s">
        <v>74</v>
      </c>
      <c r="BQ580" t="s">
        <v>74</v>
      </c>
      <c r="BR580" t="s">
        <v>98</v>
      </c>
      <c r="BS580" t="s">
        <v>8141</v>
      </c>
      <c r="BT580" t="str">
        <f>HYPERLINK("https%3A%2F%2Fwww.webofscience.com%2Fwos%2Fwoscc%2Ffull-record%2FWOS:000179204400006","View Full Record in Web of Science")</f>
        <v>View Full Record in Web of Science</v>
      </c>
    </row>
    <row r="581" spans="1:72" x14ac:dyDescent="0.15">
      <c r="A581" t="s">
        <v>552</v>
      </c>
      <c r="B581" t="s">
        <v>8142</v>
      </c>
      <c r="C581" t="s">
        <v>74</v>
      </c>
      <c r="D581" t="s">
        <v>74</v>
      </c>
      <c r="E581" t="s">
        <v>74</v>
      </c>
      <c r="F581" t="s">
        <v>8142</v>
      </c>
      <c r="G581" t="s">
        <v>74</v>
      </c>
      <c r="H581" t="s">
        <v>74</v>
      </c>
      <c r="I581" t="s">
        <v>8143</v>
      </c>
      <c r="J581" t="s">
        <v>4431</v>
      </c>
      <c r="K581" t="s">
        <v>74</v>
      </c>
      <c r="L581" t="s">
        <v>74</v>
      </c>
      <c r="M581" t="s">
        <v>78</v>
      </c>
      <c r="N581" t="s">
        <v>775</v>
      </c>
      <c r="O581" t="s">
        <v>74</v>
      </c>
      <c r="P581" t="s">
        <v>74</v>
      </c>
      <c r="Q581" t="s">
        <v>74</v>
      </c>
      <c r="R581" t="s">
        <v>74</v>
      </c>
      <c r="S581" t="s">
        <v>74</v>
      </c>
      <c r="T581" t="s">
        <v>74</v>
      </c>
      <c r="U581" t="s">
        <v>8144</v>
      </c>
      <c r="V581" t="s">
        <v>8145</v>
      </c>
      <c r="W581" t="s">
        <v>8146</v>
      </c>
      <c r="X581" t="s">
        <v>8147</v>
      </c>
      <c r="Y581" t="s">
        <v>8148</v>
      </c>
      <c r="Z581" t="s">
        <v>8149</v>
      </c>
      <c r="AA581" t="s">
        <v>8150</v>
      </c>
      <c r="AB581" t="s">
        <v>8151</v>
      </c>
      <c r="AC581" t="s">
        <v>74</v>
      </c>
      <c r="AD581" t="s">
        <v>74</v>
      </c>
      <c r="AE581" t="s">
        <v>74</v>
      </c>
      <c r="AF581" t="s">
        <v>74</v>
      </c>
      <c r="AG581">
        <v>65</v>
      </c>
      <c r="AH581">
        <v>96</v>
      </c>
      <c r="AI581">
        <v>102</v>
      </c>
      <c r="AJ581">
        <v>1</v>
      </c>
      <c r="AK581">
        <v>33</v>
      </c>
      <c r="AL581" t="s">
        <v>1230</v>
      </c>
      <c r="AM581" t="s">
        <v>561</v>
      </c>
      <c r="AN581" t="s">
        <v>1231</v>
      </c>
      <c r="AO581" t="s">
        <v>4435</v>
      </c>
      <c r="AP581" t="s">
        <v>4450</v>
      </c>
      <c r="AQ581" t="s">
        <v>74</v>
      </c>
      <c r="AR581" t="s">
        <v>4436</v>
      </c>
      <c r="AS581" t="s">
        <v>4437</v>
      </c>
      <c r="AT581" t="s">
        <v>7090</v>
      </c>
      <c r="AU581">
        <v>2002</v>
      </c>
      <c r="AV581">
        <v>25</v>
      </c>
      <c r="AW581">
        <v>11</v>
      </c>
      <c r="AX581" t="s">
        <v>74</v>
      </c>
      <c r="AY581" t="s">
        <v>74</v>
      </c>
      <c r="AZ581" t="s">
        <v>74</v>
      </c>
      <c r="BA581" t="s">
        <v>74</v>
      </c>
      <c r="BB581">
        <v>843</v>
      </c>
      <c r="BC581">
        <v>854</v>
      </c>
      <c r="BD581" t="s">
        <v>74</v>
      </c>
      <c r="BE581" t="s">
        <v>8152</v>
      </c>
      <c r="BF581" t="str">
        <f>HYPERLINK("http://dx.doi.org/10.1007/s00300-002-0428-1","http://dx.doi.org/10.1007/s00300-002-0428-1")</f>
        <v>http://dx.doi.org/10.1007/s00300-002-0428-1</v>
      </c>
      <c r="BG581" t="s">
        <v>74</v>
      </c>
      <c r="BH581" t="s">
        <v>74</v>
      </c>
      <c r="BI581">
        <v>12</v>
      </c>
      <c r="BJ581" t="s">
        <v>4439</v>
      </c>
      <c r="BK581" t="s">
        <v>569</v>
      </c>
      <c r="BL581" t="s">
        <v>4440</v>
      </c>
      <c r="BM581" t="s">
        <v>8094</v>
      </c>
      <c r="BN581" t="s">
        <v>74</v>
      </c>
      <c r="BO581" t="s">
        <v>74</v>
      </c>
      <c r="BP581" t="s">
        <v>74</v>
      </c>
      <c r="BQ581" t="s">
        <v>74</v>
      </c>
      <c r="BR581" t="s">
        <v>98</v>
      </c>
      <c r="BS581" t="s">
        <v>8153</v>
      </c>
      <c r="BT581" t="str">
        <f>HYPERLINK("https%3A%2F%2Fwww.webofscience.com%2Fwos%2Fwoscc%2Ffull-record%2FWOS:000179204400007","View Full Record in Web of Science")</f>
        <v>View Full Record in Web of Science</v>
      </c>
    </row>
    <row r="582" spans="1:72" x14ac:dyDescent="0.15">
      <c r="A582" t="s">
        <v>552</v>
      </c>
      <c r="B582" t="s">
        <v>8154</v>
      </c>
      <c r="C582" t="s">
        <v>74</v>
      </c>
      <c r="D582" t="s">
        <v>74</v>
      </c>
      <c r="E582" t="s">
        <v>74</v>
      </c>
      <c r="F582" t="s">
        <v>8154</v>
      </c>
      <c r="G582" t="s">
        <v>74</v>
      </c>
      <c r="H582" t="s">
        <v>74</v>
      </c>
      <c r="I582" t="s">
        <v>8155</v>
      </c>
      <c r="J582" t="s">
        <v>4431</v>
      </c>
      <c r="K582" t="s">
        <v>74</v>
      </c>
      <c r="L582" t="s">
        <v>74</v>
      </c>
      <c r="M582" t="s">
        <v>78</v>
      </c>
      <c r="N582" t="s">
        <v>775</v>
      </c>
      <c r="O582" t="s">
        <v>74</v>
      </c>
      <c r="P582" t="s">
        <v>74</v>
      </c>
      <c r="Q582" t="s">
        <v>74</v>
      </c>
      <c r="R582" t="s">
        <v>74</v>
      </c>
      <c r="S582" t="s">
        <v>74</v>
      </c>
      <c r="T582" t="s">
        <v>74</v>
      </c>
      <c r="U582" t="s">
        <v>8156</v>
      </c>
      <c r="V582" t="s">
        <v>8157</v>
      </c>
      <c r="W582" t="s">
        <v>8158</v>
      </c>
      <c r="X582" t="s">
        <v>2913</v>
      </c>
      <c r="Y582" t="s">
        <v>8159</v>
      </c>
      <c r="Z582" t="s">
        <v>2915</v>
      </c>
      <c r="AA582" t="s">
        <v>8160</v>
      </c>
      <c r="AB582" t="s">
        <v>74</v>
      </c>
      <c r="AC582" t="s">
        <v>74</v>
      </c>
      <c r="AD582" t="s">
        <v>74</v>
      </c>
      <c r="AE582" t="s">
        <v>74</v>
      </c>
      <c r="AF582" t="s">
        <v>74</v>
      </c>
      <c r="AG582">
        <v>36</v>
      </c>
      <c r="AH582">
        <v>32</v>
      </c>
      <c r="AI582">
        <v>38</v>
      </c>
      <c r="AJ582">
        <v>0</v>
      </c>
      <c r="AK582">
        <v>26</v>
      </c>
      <c r="AL582" t="s">
        <v>1230</v>
      </c>
      <c r="AM582" t="s">
        <v>561</v>
      </c>
      <c r="AN582" t="s">
        <v>2959</v>
      </c>
      <c r="AO582" t="s">
        <v>4435</v>
      </c>
      <c r="AP582" t="s">
        <v>4450</v>
      </c>
      <c r="AQ582" t="s">
        <v>74</v>
      </c>
      <c r="AR582" t="s">
        <v>4436</v>
      </c>
      <c r="AS582" t="s">
        <v>4437</v>
      </c>
      <c r="AT582" t="s">
        <v>7090</v>
      </c>
      <c r="AU582">
        <v>2002</v>
      </c>
      <c r="AV582">
        <v>25</v>
      </c>
      <c r="AW582">
        <v>11</v>
      </c>
      <c r="AX582" t="s">
        <v>74</v>
      </c>
      <c r="AY582" t="s">
        <v>74</v>
      </c>
      <c r="AZ582" t="s">
        <v>74</v>
      </c>
      <c r="BA582" t="s">
        <v>74</v>
      </c>
      <c r="BB582">
        <v>855</v>
      </c>
      <c r="BC582">
        <v>858</v>
      </c>
      <c r="BD582" t="s">
        <v>74</v>
      </c>
      <c r="BE582" t="s">
        <v>8161</v>
      </c>
      <c r="BF582" t="str">
        <f>HYPERLINK("http://dx.doi.org/10.1007/s00300-002-0420-9","http://dx.doi.org/10.1007/s00300-002-0420-9")</f>
        <v>http://dx.doi.org/10.1007/s00300-002-0420-9</v>
      </c>
      <c r="BG582" t="s">
        <v>74</v>
      </c>
      <c r="BH582" t="s">
        <v>74</v>
      </c>
      <c r="BI582">
        <v>4</v>
      </c>
      <c r="BJ582" t="s">
        <v>4439</v>
      </c>
      <c r="BK582" t="s">
        <v>569</v>
      </c>
      <c r="BL582" t="s">
        <v>4440</v>
      </c>
      <c r="BM582" t="s">
        <v>8094</v>
      </c>
      <c r="BN582" t="s">
        <v>74</v>
      </c>
      <c r="BO582" t="s">
        <v>74</v>
      </c>
      <c r="BP582" t="s">
        <v>74</v>
      </c>
      <c r="BQ582" t="s">
        <v>74</v>
      </c>
      <c r="BR582" t="s">
        <v>98</v>
      </c>
      <c r="BS582" t="s">
        <v>8162</v>
      </c>
      <c r="BT582" t="str">
        <f>HYPERLINK("https%3A%2F%2Fwww.webofscience.com%2Fwos%2Fwoscc%2Ffull-record%2FWOS:000179204400008","View Full Record in Web of Science")</f>
        <v>View Full Record in Web of Science</v>
      </c>
    </row>
    <row r="583" spans="1:72" x14ac:dyDescent="0.15">
      <c r="A583" t="s">
        <v>552</v>
      </c>
      <c r="B583" t="s">
        <v>8163</v>
      </c>
      <c r="C583" t="s">
        <v>74</v>
      </c>
      <c r="D583" t="s">
        <v>74</v>
      </c>
      <c r="E583" t="s">
        <v>74</v>
      </c>
      <c r="F583" t="s">
        <v>8163</v>
      </c>
      <c r="G583" t="s">
        <v>74</v>
      </c>
      <c r="H583" t="s">
        <v>74</v>
      </c>
      <c r="I583" t="s">
        <v>8164</v>
      </c>
      <c r="J583" t="s">
        <v>4431</v>
      </c>
      <c r="K583" t="s">
        <v>74</v>
      </c>
      <c r="L583" t="s">
        <v>74</v>
      </c>
      <c r="M583" t="s">
        <v>78</v>
      </c>
      <c r="N583" t="s">
        <v>775</v>
      </c>
      <c r="O583" t="s">
        <v>74</v>
      </c>
      <c r="P583" t="s">
        <v>74</v>
      </c>
      <c r="Q583" t="s">
        <v>74</v>
      </c>
      <c r="R583" t="s">
        <v>74</v>
      </c>
      <c r="S583" t="s">
        <v>74</v>
      </c>
      <c r="T583" t="s">
        <v>74</v>
      </c>
      <c r="U583" t="s">
        <v>8165</v>
      </c>
      <c r="V583" t="s">
        <v>8166</v>
      </c>
      <c r="W583" t="s">
        <v>8167</v>
      </c>
      <c r="X583" t="s">
        <v>8168</v>
      </c>
      <c r="Y583" t="s">
        <v>8169</v>
      </c>
      <c r="Z583" t="s">
        <v>74</v>
      </c>
      <c r="AA583" t="s">
        <v>74</v>
      </c>
      <c r="AB583" t="s">
        <v>74</v>
      </c>
      <c r="AC583" t="s">
        <v>74</v>
      </c>
      <c r="AD583" t="s">
        <v>74</v>
      </c>
      <c r="AE583" t="s">
        <v>74</v>
      </c>
      <c r="AF583" t="s">
        <v>74</v>
      </c>
      <c r="AG583">
        <v>27</v>
      </c>
      <c r="AH583">
        <v>7</v>
      </c>
      <c r="AI583">
        <v>7</v>
      </c>
      <c r="AJ583">
        <v>0</v>
      </c>
      <c r="AK583">
        <v>7</v>
      </c>
      <c r="AL583" t="s">
        <v>1259</v>
      </c>
      <c r="AM583" t="s">
        <v>561</v>
      </c>
      <c r="AN583" t="s">
        <v>1260</v>
      </c>
      <c r="AO583" t="s">
        <v>4435</v>
      </c>
      <c r="AP583" t="s">
        <v>74</v>
      </c>
      <c r="AQ583" t="s">
        <v>74</v>
      </c>
      <c r="AR583" t="s">
        <v>4436</v>
      </c>
      <c r="AS583" t="s">
        <v>4437</v>
      </c>
      <c r="AT583" t="s">
        <v>7090</v>
      </c>
      <c r="AU583">
        <v>2002</v>
      </c>
      <c r="AV583">
        <v>25</v>
      </c>
      <c r="AW583">
        <v>11</v>
      </c>
      <c r="AX583" t="s">
        <v>74</v>
      </c>
      <c r="AY583" t="s">
        <v>74</v>
      </c>
      <c r="AZ583" t="s">
        <v>74</v>
      </c>
      <c r="BA583" t="s">
        <v>74</v>
      </c>
      <c r="BB583">
        <v>859</v>
      </c>
      <c r="BC583">
        <v>864</v>
      </c>
      <c r="BD583" t="s">
        <v>74</v>
      </c>
      <c r="BE583" t="s">
        <v>74</v>
      </c>
      <c r="BF583" t="s">
        <v>74</v>
      </c>
      <c r="BG583" t="s">
        <v>74</v>
      </c>
      <c r="BH583" t="s">
        <v>74</v>
      </c>
      <c r="BI583">
        <v>6</v>
      </c>
      <c r="BJ583" t="s">
        <v>4439</v>
      </c>
      <c r="BK583" t="s">
        <v>569</v>
      </c>
      <c r="BL583" t="s">
        <v>4440</v>
      </c>
      <c r="BM583" t="s">
        <v>8094</v>
      </c>
      <c r="BN583" t="s">
        <v>74</v>
      </c>
      <c r="BO583" t="s">
        <v>74</v>
      </c>
      <c r="BP583" t="s">
        <v>74</v>
      </c>
      <c r="BQ583" t="s">
        <v>74</v>
      </c>
      <c r="BR583" t="s">
        <v>98</v>
      </c>
      <c r="BS583" t="s">
        <v>8170</v>
      </c>
      <c r="BT583" t="str">
        <f>HYPERLINK("https%3A%2F%2Fwww.webofscience.com%2Fwos%2Fwoscc%2Ffull-record%2FWOS:000179204400009","View Full Record in Web of Science")</f>
        <v>View Full Record in Web of Science</v>
      </c>
    </row>
    <row r="584" spans="1:72" x14ac:dyDescent="0.15">
      <c r="A584" t="s">
        <v>552</v>
      </c>
      <c r="B584" t="s">
        <v>8171</v>
      </c>
      <c r="C584" t="s">
        <v>74</v>
      </c>
      <c r="D584" t="s">
        <v>74</v>
      </c>
      <c r="E584" t="s">
        <v>74</v>
      </c>
      <c r="F584" t="s">
        <v>8171</v>
      </c>
      <c r="G584" t="s">
        <v>74</v>
      </c>
      <c r="H584" t="s">
        <v>74</v>
      </c>
      <c r="I584" t="s">
        <v>8172</v>
      </c>
      <c r="J584" t="s">
        <v>4640</v>
      </c>
      <c r="K584" t="s">
        <v>74</v>
      </c>
      <c r="L584" t="s">
        <v>74</v>
      </c>
      <c r="M584" t="s">
        <v>78</v>
      </c>
      <c r="N584" t="s">
        <v>775</v>
      </c>
      <c r="O584" t="s">
        <v>74</v>
      </c>
      <c r="P584" t="s">
        <v>74</v>
      </c>
      <c r="Q584" t="s">
        <v>74</v>
      </c>
      <c r="R584" t="s">
        <v>74</v>
      </c>
      <c r="S584" t="s">
        <v>74</v>
      </c>
      <c r="T584" t="s">
        <v>8173</v>
      </c>
      <c r="U584" t="s">
        <v>8174</v>
      </c>
      <c r="V584" t="s">
        <v>8175</v>
      </c>
      <c r="W584" t="s">
        <v>8176</v>
      </c>
      <c r="X584" t="s">
        <v>8177</v>
      </c>
      <c r="Y584" t="s">
        <v>8178</v>
      </c>
      <c r="Z584" t="s">
        <v>8179</v>
      </c>
      <c r="AA584" t="s">
        <v>74</v>
      </c>
      <c r="AB584" t="s">
        <v>8180</v>
      </c>
      <c r="AC584" t="s">
        <v>74</v>
      </c>
      <c r="AD584" t="s">
        <v>74</v>
      </c>
      <c r="AE584" t="s">
        <v>74</v>
      </c>
      <c r="AF584" t="s">
        <v>74</v>
      </c>
      <c r="AG584">
        <v>66</v>
      </c>
      <c r="AH584">
        <v>36</v>
      </c>
      <c r="AI584">
        <v>45</v>
      </c>
      <c r="AJ584">
        <v>0</v>
      </c>
      <c r="AK584">
        <v>14</v>
      </c>
      <c r="AL584" t="s">
        <v>560</v>
      </c>
      <c r="AM584" t="s">
        <v>561</v>
      </c>
      <c r="AN584" t="s">
        <v>603</v>
      </c>
      <c r="AO584" t="s">
        <v>4651</v>
      </c>
      <c r="AP584" t="s">
        <v>8181</v>
      </c>
      <c r="AQ584" t="s">
        <v>74</v>
      </c>
      <c r="AR584" t="s">
        <v>4652</v>
      </c>
      <c r="AS584" t="s">
        <v>4653</v>
      </c>
      <c r="AT584" t="s">
        <v>7090</v>
      </c>
      <c r="AU584">
        <v>2002</v>
      </c>
      <c r="AV584">
        <v>58</v>
      </c>
      <c r="AW584">
        <v>3</v>
      </c>
      <c r="AX584" t="s">
        <v>74</v>
      </c>
      <c r="AY584" t="s">
        <v>74</v>
      </c>
      <c r="AZ584" t="s">
        <v>74</v>
      </c>
      <c r="BA584" t="s">
        <v>74</v>
      </c>
      <c r="BB584">
        <v>234</v>
      </c>
      <c r="BC584">
        <v>245</v>
      </c>
      <c r="BD584" t="s">
        <v>74</v>
      </c>
      <c r="BE584" t="s">
        <v>8182</v>
      </c>
      <c r="BF584" t="str">
        <f>HYPERLINK("http://dx.doi.org/10.1006/qres.2002.2371","http://dx.doi.org/10.1006/qres.2002.2371")</f>
        <v>http://dx.doi.org/10.1006/qres.2002.2371</v>
      </c>
      <c r="BG584" t="s">
        <v>74</v>
      </c>
      <c r="BH584" t="s">
        <v>74</v>
      </c>
      <c r="BI584">
        <v>12</v>
      </c>
      <c r="BJ584" t="s">
        <v>2348</v>
      </c>
      <c r="BK584" t="s">
        <v>569</v>
      </c>
      <c r="BL584" t="s">
        <v>2349</v>
      </c>
      <c r="BM584" t="s">
        <v>8183</v>
      </c>
      <c r="BN584" t="s">
        <v>74</v>
      </c>
      <c r="BO584" t="s">
        <v>74</v>
      </c>
      <c r="BP584" t="s">
        <v>74</v>
      </c>
      <c r="BQ584" t="s">
        <v>74</v>
      </c>
      <c r="BR584" t="s">
        <v>98</v>
      </c>
      <c r="BS584" t="s">
        <v>8184</v>
      </c>
      <c r="BT584" t="str">
        <f>HYPERLINK("https%3A%2F%2Fwww.webofscience.com%2Fwos%2Fwoscc%2Ffull-record%2FWOS:000179835800003","View Full Record in Web of Science")</f>
        <v>View Full Record in Web of Science</v>
      </c>
    </row>
    <row r="585" spans="1:72" x14ac:dyDescent="0.15">
      <c r="A585" t="s">
        <v>552</v>
      </c>
      <c r="B585" t="s">
        <v>8185</v>
      </c>
      <c r="C585" t="s">
        <v>74</v>
      </c>
      <c r="D585" t="s">
        <v>74</v>
      </c>
      <c r="E585" t="s">
        <v>74</v>
      </c>
      <c r="F585" t="s">
        <v>8185</v>
      </c>
      <c r="G585" t="s">
        <v>74</v>
      </c>
      <c r="H585" t="s">
        <v>74</v>
      </c>
      <c r="I585" t="s">
        <v>8186</v>
      </c>
      <c r="J585" t="s">
        <v>8187</v>
      </c>
      <c r="K585" t="s">
        <v>74</v>
      </c>
      <c r="L585" t="s">
        <v>74</v>
      </c>
      <c r="M585" t="s">
        <v>78</v>
      </c>
      <c r="N585" t="s">
        <v>775</v>
      </c>
      <c r="O585" t="s">
        <v>74</v>
      </c>
      <c r="P585" t="s">
        <v>74</v>
      </c>
      <c r="Q585" t="s">
        <v>74</v>
      </c>
      <c r="R585" t="s">
        <v>74</v>
      </c>
      <c r="S585" t="s">
        <v>74</v>
      </c>
      <c r="T585" t="s">
        <v>8188</v>
      </c>
      <c r="U585" t="s">
        <v>8189</v>
      </c>
      <c r="V585" t="s">
        <v>8190</v>
      </c>
      <c r="W585" t="s">
        <v>8191</v>
      </c>
      <c r="X585" t="s">
        <v>8192</v>
      </c>
      <c r="Y585" t="s">
        <v>8193</v>
      </c>
      <c r="Z585" t="s">
        <v>74</v>
      </c>
      <c r="AA585" t="s">
        <v>8194</v>
      </c>
      <c r="AB585" t="s">
        <v>8195</v>
      </c>
      <c r="AC585" t="s">
        <v>74</v>
      </c>
      <c r="AD585" t="s">
        <v>74</v>
      </c>
      <c r="AE585" t="s">
        <v>74</v>
      </c>
      <c r="AF585" t="s">
        <v>74</v>
      </c>
      <c r="AG585">
        <v>36</v>
      </c>
      <c r="AH585">
        <v>97</v>
      </c>
      <c r="AI585">
        <v>120</v>
      </c>
      <c r="AJ585">
        <v>0</v>
      </c>
      <c r="AK585">
        <v>17</v>
      </c>
      <c r="AL585" t="s">
        <v>8196</v>
      </c>
      <c r="AM585" t="s">
        <v>8197</v>
      </c>
      <c r="AN585" t="s">
        <v>8198</v>
      </c>
      <c r="AO585" t="s">
        <v>8199</v>
      </c>
      <c r="AP585" t="s">
        <v>74</v>
      </c>
      <c r="AQ585" t="s">
        <v>74</v>
      </c>
      <c r="AR585" t="s">
        <v>8200</v>
      </c>
      <c r="AS585" t="s">
        <v>8201</v>
      </c>
      <c r="AT585" t="s">
        <v>7090</v>
      </c>
      <c r="AU585">
        <v>2002</v>
      </c>
      <c r="AV585">
        <v>153</v>
      </c>
      <c r="AW585">
        <v>9</v>
      </c>
      <c r="AX585" t="s">
        <v>74</v>
      </c>
      <c r="AY585" t="s">
        <v>74</v>
      </c>
      <c r="AZ585" t="s">
        <v>74</v>
      </c>
      <c r="BA585" t="s">
        <v>74</v>
      </c>
      <c r="BB585">
        <v>585</v>
      </c>
      <c r="BC585">
        <v>592</v>
      </c>
      <c r="BD585" t="s">
        <v>8202</v>
      </c>
      <c r="BE585" t="s">
        <v>8203</v>
      </c>
      <c r="BF585" t="str">
        <f>HYPERLINK("http://dx.doi.org/10.1016/S0923-2508(02)01372-4","http://dx.doi.org/10.1016/S0923-2508(02)01372-4")</f>
        <v>http://dx.doi.org/10.1016/S0923-2508(02)01372-4</v>
      </c>
      <c r="BG585" t="s">
        <v>74</v>
      </c>
      <c r="BH585" t="s">
        <v>74</v>
      </c>
      <c r="BI585">
        <v>8</v>
      </c>
      <c r="BJ585" t="s">
        <v>2446</v>
      </c>
      <c r="BK585" t="s">
        <v>569</v>
      </c>
      <c r="BL585" t="s">
        <v>2446</v>
      </c>
      <c r="BM585" t="s">
        <v>8204</v>
      </c>
      <c r="BN585">
        <v>12455706</v>
      </c>
      <c r="BO585" t="s">
        <v>74</v>
      </c>
      <c r="BP585" t="s">
        <v>74</v>
      </c>
      <c r="BQ585" t="s">
        <v>74</v>
      </c>
      <c r="BR585" t="s">
        <v>98</v>
      </c>
      <c r="BS585" t="s">
        <v>8205</v>
      </c>
      <c r="BT585" t="str">
        <f>HYPERLINK("https%3A%2F%2Fwww.webofscience.com%2Fwos%2Fwoscc%2Ffull-record%2FWOS:000179194800005","View Full Record in Web of Science")</f>
        <v>View Full Record in Web of Science</v>
      </c>
    </row>
    <row r="586" spans="1:72" x14ac:dyDescent="0.15">
      <c r="A586" t="s">
        <v>552</v>
      </c>
      <c r="B586" t="s">
        <v>8206</v>
      </c>
      <c r="C586" t="s">
        <v>74</v>
      </c>
      <c r="D586" t="s">
        <v>74</v>
      </c>
      <c r="E586" t="s">
        <v>74</v>
      </c>
      <c r="F586" t="s">
        <v>8206</v>
      </c>
      <c r="G586" t="s">
        <v>74</v>
      </c>
      <c r="H586" t="s">
        <v>74</v>
      </c>
      <c r="I586" t="s">
        <v>8207</v>
      </c>
      <c r="J586" t="s">
        <v>8208</v>
      </c>
      <c r="K586" t="s">
        <v>74</v>
      </c>
      <c r="L586" t="s">
        <v>74</v>
      </c>
      <c r="M586" t="s">
        <v>78</v>
      </c>
      <c r="N586" t="s">
        <v>556</v>
      </c>
      <c r="O586" t="s">
        <v>74</v>
      </c>
      <c r="P586" t="s">
        <v>74</v>
      </c>
      <c r="Q586" t="s">
        <v>74</v>
      </c>
      <c r="R586" t="s">
        <v>74</v>
      </c>
      <c r="S586" t="s">
        <v>74</v>
      </c>
      <c r="T586" t="s">
        <v>74</v>
      </c>
      <c r="U586" t="s">
        <v>8209</v>
      </c>
      <c r="V586" t="s">
        <v>74</v>
      </c>
      <c r="W586" t="s">
        <v>238</v>
      </c>
      <c r="X586" t="s">
        <v>239</v>
      </c>
      <c r="Y586" t="s">
        <v>8210</v>
      </c>
      <c r="Z586" t="s">
        <v>74</v>
      </c>
      <c r="AA586" t="s">
        <v>4362</v>
      </c>
      <c r="AB586" t="s">
        <v>8211</v>
      </c>
      <c r="AC586" t="s">
        <v>74</v>
      </c>
      <c r="AD586" t="s">
        <v>74</v>
      </c>
      <c r="AE586" t="s">
        <v>74</v>
      </c>
      <c r="AF586" t="s">
        <v>74</v>
      </c>
      <c r="AG586">
        <v>17</v>
      </c>
      <c r="AH586">
        <v>17</v>
      </c>
      <c r="AI586">
        <v>17</v>
      </c>
      <c r="AJ586">
        <v>0</v>
      </c>
      <c r="AK586">
        <v>7</v>
      </c>
      <c r="AL586" t="s">
        <v>8212</v>
      </c>
      <c r="AM586" t="s">
        <v>388</v>
      </c>
      <c r="AN586" t="s">
        <v>8213</v>
      </c>
      <c r="AO586" t="s">
        <v>8214</v>
      </c>
      <c r="AP586" t="s">
        <v>74</v>
      </c>
      <c r="AQ586" t="s">
        <v>74</v>
      </c>
      <c r="AR586" t="s">
        <v>8208</v>
      </c>
      <c r="AS586" t="s">
        <v>8215</v>
      </c>
      <c r="AT586" t="s">
        <v>7416</v>
      </c>
      <c r="AU586">
        <v>2002</v>
      </c>
      <c r="AV586">
        <v>298</v>
      </c>
      <c r="AW586">
        <v>5595</v>
      </c>
      <c r="AX586" t="s">
        <v>74</v>
      </c>
      <c r="AY586" t="s">
        <v>74</v>
      </c>
      <c r="AZ586" t="s">
        <v>74</v>
      </c>
      <c r="BA586" t="s">
        <v>74</v>
      </c>
      <c r="BB586">
        <v>979</v>
      </c>
      <c r="BC586">
        <v>980</v>
      </c>
      <c r="BD586" t="s">
        <v>74</v>
      </c>
      <c r="BE586" t="s">
        <v>8216</v>
      </c>
      <c r="BF586" t="str">
        <f>HYPERLINK("http://dx.doi.org/10.1126/science.1075555","http://dx.doi.org/10.1126/science.1075555")</f>
        <v>http://dx.doi.org/10.1126/science.1075555</v>
      </c>
      <c r="BG586" t="s">
        <v>74</v>
      </c>
      <c r="BH586" t="s">
        <v>74</v>
      </c>
      <c r="BI586">
        <v>3</v>
      </c>
      <c r="BJ586" t="s">
        <v>5596</v>
      </c>
      <c r="BK586" t="s">
        <v>569</v>
      </c>
      <c r="BL586" t="s">
        <v>5597</v>
      </c>
      <c r="BM586" t="s">
        <v>8217</v>
      </c>
      <c r="BN586">
        <v>12411694</v>
      </c>
      <c r="BO586" t="s">
        <v>74</v>
      </c>
      <c r="BP586" t="s">
        <v>74</v>
      </c>
      <c r="BQ586" t="s">
        <v>74</v>
      </c>
      <c r="BR586" t="s">
        <v>98</v>
      </c>
      <c r="BS586" t="s">
        <v>8218</v>
      </c>
      <c r="BT586" t="str">
        <f>HYPERLINK("https%3A%2F%2Fwww.webofscience.com%2Fwos%2Fwoscc%2Ffull-record%2FWOS:000178932000043","View Full Record in Web of Science")</f>
        <v>View Full Record in Web of Science</v>
      </c>
    </row>
    <row r="587" spans="1:72" x14ac:dyDescent="0.15">
      <c r="A587" t="s">
        <v>552</v>
      </c>
      <c r="B587" t="s">
        <v>8219</v>
      </c>
      <c r="C587" t="s">
        <v>74</v>
      </c>
      <c r="D587" t="s">
        <v>74</v>
      </c>
      <c r="E587" t="s">
        <v>74</v>
      </c>
      <c r="F587" t="s">
        <v>8219</v>
      </c>
      <c r="G587" t="s">
        <v>74</v>
      </c>
      <c r="H587" t="s">
        <v>74</v>
      </c>
      <c r="I587" t="s">
        <v>8220</v>
      </c>
      <c r="J587" t="s">
        <v>8221</v>
      </c>
      <c r="K587" t="s">
        <v>74</v>
      </c>
      <c r="L587" t="s">
        <v>74</v>
      </c>
      <c r="M587" t="s">
        <v>78</v>
      </c>
      <c r="N587" t="s">
        <v>556</v>
      </c>
      <c r="O587" t="s">
        <v>74</v>
      </c>
      <c r="P587" t="s">
        <v>74</v>
      </c>
      <c r="Q587" t="s">
        <v>74</v>
      </c>
      <c r="R587" t="s">
        <v>74</v>
      </c>
      <c r="S587" t="s">
        <v>74</v>
      </c>
      <c r="T587" t="s">
        <v>74</v>
      </c>
      <c r="U587" t="s">
        <v>8222</v>
      </c>
      <c r="V587" t="s">
        <v>74</v>
      </c>
      <c r="W587" t="s">
        <v>8223</v>
      </c>
      <c r="X587" t="s">
        <v>8224</v>
      </c>
      <c r="Y587" t="s">
        <v>8225</v>
      </c>
      <c r="Z587" t="s">
        <v>74</v>
      </c>
      <c r="AA587" t="s">
        <v>8226</v>
      </c>
      <c r="AB587" t="s">
        <v>8227</v>
      </c>
      <c r="AC587" t="s">
        <v>74</v>
      </c>
      <c r="AD587" t="s">
        <v>74</v>
      </c>
      <c r="AE587" t="s">
        <v>74</v>
      </c>
      <c r="AF587" t="s">
        <v>74</v>
      </c>
      <c r="AG587">
        <v>14</v>
      </c>
      <c r="AH587">
        <v>12</v>
      </c>
      <c r="AI587">
        <v>14</v>
      </c>
      <c r="AJ587">
        <v>0</v>
      </c>
      <c r="AK587">
        <v>1</v>
      </c>
      <c r="AL587" t="s">
        <v>8228</v>
      </c>
      <c r="AM587" t="s">
        <v>8229</v>
      </c>
      <c r="AN587" t="s">
        <v>8230</v>
      </c>
      <c r="AO587" t="s">
        <v>8231</v>
      </c>
      <c r="AP587" t="s">
        <v>74</v>
      </c>
      <c r="AQ587" t="s">
        <v>74</v>
      </c>
      <c r="AR587" t="s">
        <v>8232</v>
      </c>
      <c r="AS587" t="s">
        <v>8233</v>
      </c>
      <c r="AT587" t="s">
        <v>7134</v>
      </c>
      <c r="AU587">
        <v>2002</v>
      </c>
      <c r="AV587">
        <v>98</v>
      </c>
      <c r="AW587" t="s">
        <v>8234</v>
      </c>
      <c r="AX587" t="s">
        <v>74</v>
      </c>
      <c r="AY587" t="s">
        <v>74</v>
      </c>
      <c r="AZ587" t="s">
        <v>74</v>
      </c>
      <c r="BA587" t="s">
        <v>74</v>
      </c>
      <c r="BB587">
        <v>534</v>
      </c>
      <c r="BC587">
        <v>536</v>
      </c>
      <c r="BD587" t="s">
        <v>74</v>
      </c>
      <c r="BE587" t="s">
        <v>74</v>
      </c>
      <c r="BF587" t="s">
        <v>74</v>
      </c>
      <c r="BG587" t="s">
        <v>74</v>
      </c>
      <c r="BH587" t="s">
        <v>74</v>
      </c>
      <c r="BI587">
        <v>3</v>
      </c>
      <c r="BJ587" t="s">
        <v>5596</v>
      </c>
      <c r="BK587" t="s">
        <v>569</v>
      </c>
      <c r="BL587" t="s">
        <v>5597</v>
      </c>
      <c r="BM587" t="s">
        <v>8235</v>
      </c>
      <c r="BN587" t="s">
        <v>74</v>
      </c>
      <c r="BO587" t="s">
        <v>74</v>
      </c>
      <c r="BP587" t="s">
        <v>74</v>
      </c>
      <c r="BQ587" t="s">
        <v>74</v>
      </c>
      <c r="BR587" t="s">
        <v>98</v>
      </c>
      <c r="BS587" t="s">
        <v>8236</v>
      </c>
      <c r="BT587" t="str">
        <f>HYPERLINK("https%3A%2F%2Fwww.webofscience.com%2Fwos%2Fwoscc%2Ffull-record%2FWOS:000181117800004","View Full Record in Web of Science")</f>
        <v>View Full Record in Web of Science</v>
      </c>
    </row>
    <row r="588" spans="1:72" x14ac:dyDescent="0.15">
      <c r="A588" t="s">
        <v>552</v>
      </c>
      <c r="B588" t="s">
        <v>6182</v>
      </c>
      <c r="C588" t="s">
        <v>74</v>
      </c>
      <c r="D588" t="s">
        <v>74</v>
      </c>
      <c r="E588" t="s">
        <v>74</v>
      </c>
      <c r="F588" t="s">
        <v>6182</v>
      </c>
      <c r="G588" t="s">
        <v>74</v>
      </c>
      <c r="H588" t="s">
        <v>74</v>
      </c>
      <c r="I588" t="s">
        <v>8237</v>
      </c>
      <c r="J588" t="s">
        <v>8238</v>
      </c>
      <c r="K588" t="s">
        <v>74</v>
      </c>
      <c r="L588" t="s">
        <v>74</v>
      </c>
      <c r="M588" t="s">
        <v>78</v>
      </c>
      <c r="N588" t="s">
        <v>556</v>
      </c>
      <c r="O588" t="s">
        <v>74</v>
      </c>
      <c r="P588" t="s">
        <v>74</v>
      </c>
      <c r="Q588" t="s">
        <v>74</v>
      </c>
      <c r="R588" t="s">
        <v>74</v>
      </c>
      <c r="S588" t="s">
        <v>74</v>
      </c>
      <c r="T588" t="s">
        <v>74</v>
      </c>
      <c r="U588" t="s">
        <v>74</v>
      </c>
      <c r="V588" t="s">
        <v>8239</v>
      </c>
      <c r="W588" t="s">
        <v>8240</v>
      </c>
      <c r="X588" t="s">
        <v>239</v>
      </c>
      <c r="Y588" t="s">
        <v>8241</v>
      </c>
      <c r="Z588" t="s">
        <v>74</v>
      </c>
      <c r="AA588" t="s">
        <v>74</v>
      </c>
      <c r="AB588" t="s">
        <v>74</v>
      </c>
      <c r="AC588" t="s">
        <v>74</v>
      </c>
      <c r="AD588" t="s">
        <v>74</v>
      </c>
      <c r="AE588" t="s">
        <v>74</v>
      </c>
      <c r="AF588" t="s">
        <v>74</v>
      </c>
      <c r="AG588">
        <v>6</v>
      </c>
      <c r="AH588">
        <v>11</v>
      </c>
      <c r="AI588">
        <v>12</v>
      </c>
      <c r="AJ588">
        <v>0</v>
      </c>
      <c r="AK588">
        <v>9</v>
      </c>
      <c r="AL588" t="s">
        <v>1974</v>
      </c>
      <c r="AM588" t="s">
        <v>807</v>
      </c>
      <c r="AN588" t="s">
        <v>1975</v>
      </c>
      <c r="AO588" t="s">
        <v>8242</v>
      </c>
      <c r="AP588" t="s">
        <v>74</v>
      </c>
      <c r="AQ588" t="s">
        <v>74</v>
      </c>
      <c r="AR588" t="s">
        <v>8238</v>
      </c>
      <c r="AS588" t="s">
        <v>8243</v>
      </c>
      <c r="AT588" t="s">
        <v>7090</v>
      </c>
      <c r="AU588">
        <v>2002</v>
      </c>
      <c r="AV588">
        <v>18</v>
      </c>
      <c r="AW588">
        <v>4</v>
      </c>
      <c r="AX588" t="s">
        <v>74</v>
      </c>
      <c r="AY588" t="s">
        <v>74</v>
      </c>
      <c r="AZ588" t="s">
        <v>74</v>
      </c>
      <c r="BA588" t="s">
        <v>74</v>
      </c>
      <c r="BB588">
        <v>263</v>
      </c>
      <c r="BC588">
        <v>266</v>
      </c>
      <c r="BD588" t="s">
        <v>8244</v>
      </c>
      <c r="BE588" t="s">
        <v>8245</v>
      </c>
      <c r="BF588" t="str">
        <f>HYPERLINK("http://dx.doi.org/10.1016/S0265-9646(02)00039-5","http://dx.doi.org/10.1016/S0265-9646(02)00039-5")</f>
        <v>http://dx.doi.org/10.1016/S0265-9646(02)00039-5</v>
      </c>
      <c r="BG588" t="s">
        <v>74</v>
      </c>
      <c r="BH588" t="s">
        <v>74</v>
      </c>
      <c r="BI588">
        <v>4</v>
      </c>
      <c r="BJ588" t="s">
        <v>8246</v>
      </c>
      <c r="BK588" t="s">
        <v>4745</v>
      </c>
      <c r="BL588" t="s">
        <v>8247</v>
      </c>
      <c r="BM588" t="s">
        <v>8248</v>
      </c>
      <c r="BN588" t="s">
        <v>74</v>
      </c>
      <c r="BO588" t="s">
        <v>74</v>
      </c>
      <c r="BP588" t="s">
        <v>74</v>
      </c>
      <c r="BQ588" t="s">
        <v>74</v>
      </c>
      <c r="BR588" t="s">
        <v>98</v>
      </c>
      <c r="BS588" t="s">
        <v>8249</v>
      </c>
      <c r="BT588" t="str">
        <f>HYPERLINK("https%3A%2F%2Fwww.webofscience.com%2Fwos%2Fwoscc%2Ffull-record%2FWOS:000179682100002","View Full Record in Web of Science")</f>
        <v>View Full Record in Web of Science</v>
      </c>
    </row>
    <row r="589" spans="1:72" x14ac:dyDescent="0.15">
      <c r="A589" t="s">
        <v>552</v>
      </c>
      <c r="B589" t="s">
        <v>8250</v>
      </c>
      <c r="C589" t="s">
        <v>74</v>
      </c>
      <c r="D589" t="s">
        <v>74</v>
      </c>
      <c r="E589" t="s">
        <v>74</v>
      </c>
      <c r="F589" t="s">
        <v>8250</v>
      </c>
      <c r="G589" t="s">
        <v>74</v>
      </c>
      <c r="H589" t="s">
        <v>74</v>
      </c>
      <c r="I589" t="s">
        <v>8251</v>
      </c>
      <c r="J589" t="s">
        <v>8252</v>
      </c>
      <c r="K589" t="s">
        <v>74</v>
      </c>
      <c r="L589" t="s">
        <v>74</v>
      </c>
      <c r="M589" t="s">
        <v>78</v>
      </c>
      <c r="N589" t="s">
        <v>1114</v>
      </c>
      <c r="O589" t="s">
        <v>74</v>
      </c>
      <c r="P589" t="s">
        <v>74</v>
      </c>
      <c r="Q589" t="s">
        <v>74</v>
      </c>
      <c r="R589" t="s">
        <v>74</v>
      </c>
      <c r="S589" t="s">
        <v>74</v>
      </c>
      <c r="T589" t="s">
        <v>8253</v>
      </c>
      <c r="U589" t="s">
        <v>8254</v>
      </c>
      <c r="V589" t="s">
        <v>8255</v>
      </c>
      <c r="W589" t="s">
        <v>8256</v>
      </c>
      <c r="X589" t="s">
        <v>8257</v>
      </c>
      <c r="Y589" t="s">
        <v>8258</v>
      </c>
      <c r="Z589" t="s">
        <v>5368</v>
      </c>
      <c r="AA589" t="s">
        <v>8259</v>
      </c>
      <c r="AB589" t="s">
        <v>74</v>
      </c>
      <c r="AC589" t="s">
        <v>74</v>
      </c>
      <c r="AD589" t="s">
        <v>74</v>
      </c>
      <c r="AE589" t="s">
        <v>74</v>
      </c>
      <c r="AF589" t="s">
        <v>74</v>
      </c>
      <c r="AG589">
        <v>110</v>
      </c>
      <c r="AH589">
        <v>64</v>
      </c>
      <c r="AI589">
        <v>79</v>
      </c>
      <c r="AJ589">
        <v>4</v>
      </c>
      <c r="AK589">
        <v>12</v>
      </c>
      <c r="AL589" t="s">
        <v>942</v>
      </c>
      <c r="AM589" t="s">
        <v>807</v>
      </c>
      <c r="AN589" t="s">
        <v>943</v>
      </c>
      <c r="AO589" t="s">
        <v>8260</v>
      </c>
      <c r="AP589" t="s">
        <v>8261</v>
      </c>
      <c r="AQ589" t="s">
        <v>74</v>
      </c>
      <c r="AR589" t="s">
        <v>8262</v>
      </c>
      <c r="AS589" t="s">
        <v>8263</v>
      </c>
      <c r="AT589" t="s">
        <v>7090</v>
      </c>
      <c r="AU589">
        <v>2002</v>
      </c>
      <c r="AV589">
        <v>136</v>
      </c>
      <c r="AW589">
        <v>3</v>
      </c>
      <c r="AX589" t="s">
        <v>74</v>
      </c>
      <c r="AY589" t="s">
        <v>74</v>
      </c>
      <c r="AZ589" t="s">
        <v>74</v>
      </c>
      <c r="BA589" t="s">
        <v>74</v>
      </c>
      <c r="BB589">
        <v>421</v>
      </c>
      <c r="BC589">
        <v>485</v>
      </c>
      <c r="BD589" t="s">
        <v>74</v>
      </c>
      <c r="BE589" t="s">
        <v>8264</v>
      </c>
      <c r="BF589" t="str">
        <f>HYPERLINK("http://dx.doi.org/10.1046/j.1096-3642.2002.00031.x","http://dx.doi.org/10.1046/j.1096-3642.2002.00031.x")</f>
        <v>http://dx.doi.org/10.1046/j.1096-3642.2002.00031.x</v>
      </c>
      <c r="BG589" t="s">
        <v>74</v>
      </c>
      <c r="BH589" t="s">
        <v>74</v>
      </c>
      <c r="BI589">
        <v>65</v>
      </c>
      <c r="BJ589" t="s">
        <v>927</v>
      </c>
      <c r="BK589" t="s">
        <v>569</v>
      </c>
      <c r="BL589" t="s">
        <v>927</v>
      </c>
      <c r="BM589" t="s">
        <v>8265</v>
      </c>
      <c r="BN589" t="s">
        <v>74</v>
      </c>
      <c r="BO589" t="s">
        <v>3510</v>
      </c>
      <c r="BP589" t="s">
        <v>74</v>
      </c>
      <c r="BQ589" t="s">
        <v>74</v>
      </c>
      <c r="BR589" t="s">
        <v>98</v>
      </c>
      <c r="BS589" t="s">
        <v>8266</v>
      </c>
      <c r="BT589" t="str">
        <f>HYPERLINK("https%3A%2F%2Fwww.webofscience.com%2Fwos%2Fwoscc%2Ffull-record%2FWOS:000178898400005","View Full Record in Web of Science")</f>
        <v>View Full Record in Web of Science</v>
      </c>
    </row>
    <row r="590" spans="1:72" x14ac:dyDescent="0.15">
      <c r="A590" t="s">
        <v>552</v>
      </c>
      <c r="B590" t="s">
        <v>8267</v>
      </c>
      <c r="C590" t="s">
        <v>74</v>
      </c>
      <c r="D590" t="s">
        <v>74</v>
      </c>
      <c r="E590" t="s">
        <v>74</v>
      </c>
      <c r="F590" t="s">
        <v>8267</v>
      </c>
      <c r="G590" t="s">
        <v>74</v>
      </c>
      <c r="H590" t="s">
        <v>74</v>
      </c>
      <c r="I590" t="s">
        <v>8268</v>
      </c>
      <c r="J590" t="s">
        <v>8269</v>
      </c>
      <c r="K590" t="s">
        <v>74</v>
      </c>
      <c r="L590" t="s">
        <v>74</v>
      </c>
      <c r="M590" t="s">
        <v>78</v>
      </c>
      <c r="N590" t="s">
        <v>775</v>
      </c>
      <c r="O590" t="s">
        <v>74</v>
      </c>
      <c r="P590" t="s">
        <v>74</v>
      </c>
      <c r="Q590" t="s">
        <v>74</v>
      </c>
      <c r="R590" t="s">
        <v>74</v>
      </c>
      <c r="S590" t="s">
        <v>74</v>
      </c>
      <c r="T590" t="s">
        <v>8270</v>
      </c>
      <c r="U590" t="s">
        <v>8271</v>
      </c>
      <c r="V590" t="s">
        <v>8272</v>
      </c>
      <c r="W590" t="s">
        <v>8273</v>
      </c>
      <c r="X590" t="s">
        <v>8274</v>
      </c>
      <c r="Y590" t="s">
        <v>8275</v>
      </c>
      <c r="Z590" t="s">
        <v>8276</v>
      </c>
      <c r="AA590" t="s">
        <v>4607</v>
      </c>
      <c r="AB590" t="s">
        <v>8277</v>
      </c>
      <c r="AC590" t="s">
        <v>74</v>
      </c>
      <c r="AD590" t="s">
        <v>74</v>
      </c>
      <c r="AE590" t="s">
        <v>74</v>
      </c>
      <c r="AF590" t="s">
        <v>74</v>
      </c>
      <c r="AG590">
        <v>53</v>
      </c>
      <c r="AH590">
        <v>8</v>
      </c>
      <c r="AI590">
        <v>11</v>
      </c>
      <c r="AJ590">
        <v>0</v>
      </c>
      <c r="AK590">
        <v>5</v>
      </c>
      <c r="AL590" t="s">
        <v>8278</v>
      </c>
      <c r="AM590" t="s">
        <v>2209</v>
      </c>
      <c r="AN590" t="s">
        <v>8279</v>
      </c>
      <c r="AO590" t="s">
        <v>8280</v>
      </c>
      <c r="AP590" t="s">
        <v>74</v>
      </c>
      <c r="AQ590" t="s">
        <v>74</v>
      </c>
      <c r="AR590" t="s">
        <v>8281</v>
      </c>
      <c r="AS590" t="s">
        <v>8282</v>
      </c>
      <c r="AT590" t="s">
        <v>7090</v>
      </c>
      <c r="AU590">
        <v>2002</v>
      </c>
      <c r="AV590">
        <v>19</v>
      </c>
      <c r="AW590">
        <v>11</v>
      </c>
      <c r="AX590" t="s">
        <v>74</v>
      </c>
      <c r="AY590" t="s">
        <v>74</v>
      </c>
      <c r="AZ590" t="s">
        <v>74</v>
      </c>
      <c r="BA590" t="s">
        <v>74</v>
      </c>
      <c r="BB590">
        <v>1223</v>
      </c>
      <c r="BC590">
        <v>1229</v>
      </c>
      <c r="BD590" t="s">
        <v>74</v>
      </c>
      <c r="BE590" t="s">
        <v>8283</v>
      </c>
      <c r="BF590" t="str">
        <f>HYPERLINK("http://dx.doi.org/10.2108/zsj.19.1223","http://dx.doi.org/10.2108/zsj.19.1223")</f>
        <v>http://dx.doi.org/10.2108/zsj.19.1223</v>
      </c>
      <c r="BG590" t="s">
        <v>74</v>
      </c>
      <c r="BH590" t="s">
        <v>74</v>
      </c>
      <c r="BI590">
        <v>7</v>
      </c>
      <c r="BJ590" t="s">
        <v>927</v>
      </c>
      <c r="BK590" t="s">
        <v>569</v>
      </c>
      <c r="BL590" t="s">
        <v>927</v>
      </c>
      <c r="BM590" t="s">
        <v>8284</v>
      </c>
      <c r="BN590">
        <v>12499665</v>
      </c>
      <c r="BO590" t="s">
        <v>572</v>
      </c>
      <c r="BP590" t="s">
        <v>74</v>
      </c>
      <c r="BQ590" t="s">
        <v>74</v>
      </c>
      <c r="BR590" t="s">
        <v>98</v>
      </c>
      <c r="BS590" t="s">
        <v>8285</v>
      </c>
      <c r="BT590" t="str">
        <f>HYPERLINK("https%3A%2F%2Fwww.webofscience.com%2Fwos%2Fwoscc%2Ffull-record%2FWOS:000181086400004","View Full Record in Web of Science")</f>
        <v>View Full Record in Web of Science</v>
      </c>
    </row>
    <row r="591" spans="1:72" x14ac:dyDescent="0.15">
      <c r="A591" t="s">
        <v>552</v>
      </c>
      <c r="B591" t="s">
        <v>8286</v>
      </c>
      <c r="C591" t="s">
        <v>74</v>
      </c>
      <c r="D591" t="s">
        <v>74</v>
      </c>
      <c r="E591" t="s">
        <v>74</v>
      </c>
      <c r="F591" t="s">
        <v>8286</v>
      </c>
      <c r="G591" t="s">
        <v>74</v>
      </c>
      <c r="H591" t="s">
        <v>74</v>
      </c>
      <c r="I591" t="s">
        <v>8287</v>
      </c>
      <c r="J591" t="s">
        <v>8288</v>
      </c>
      <c r="K591" t="s">
        <v>74</v>
      </c>
      <c r="L591" t="s">
        <v>74</v>
      </c>
      <c r="M591" t="s">
        <v>78</v>
      </c>
      <c r="N591" t="s">
        <v>775</v>
      </c>
      <c r="O591" t="s">
        <v>74</v>
      </c>
      <c r="P591" t="s">
        <v>74</v>
      </c>
      <c r="Q591" t="s">
        <v>74</v>
      </c>
      <c r="R591" t="s">
        <v>74</v>
      </c>
      <c r="S591" t="s">
        <v>74</v>
      </c>
      <c r="T591" t="s">
        <v>8289</v>
      </c>
      <c r="U591" t="s">
        <v>8290</v>
      </c>
      <c r="V591" t="s">
        <v>8291</v>
      </c>
      <c r="W591" t="s">
        <v>8292</v>
      </c>
      <c r="X591" t="s">
        <v>7238</v>
      </c>
      <c r="Y591" t="s">
        <v>8293</v>
      </c>
      <c r="Z591" t="s">
        <v>74</v>
      </c>
      <c r="AA591" t="s">
        <v>8294</v>
      </c>
      <c r="AB591" t="s">
        <v>8295</v>
      </c>
      <c r="AC591" t="s">
        <v>74</v>
      </c>
      <c r="AD591" t="s">
        <v>74</v>
      </c>
      <c r="AE591" t="s">
        <v>74</v>
      </c>
      <c r="AF591" t="s">
        <v>74</v>
      </c>
      <c r="AG591">
        <v>26</v>
      </c>
      <c r="AH591">
        <v>16</v>
      </c>
      <c r="AI591">
        <v>20</v>
      </c>
      <c r="AJ591">
        <v>0</v>
      </c>
      <c r="AK591">
        <v>6</v>
      </c>
      <c r="AL591" t="s">
        <v>1860</v>
      </c>
      <c r="AM591" t="s">
        <v>1861</v>
      </c>
      <c r="AN591" t="s">
        <v>1862</v>
      </c>
      <c r="AO591" t="s">
        <v>8296</v>
      </c>
      <c r="AP591" t="s">
        <v>74</v>
      </c>
      <c r="AQ591" t="s">
        <v>74</v>
      </c>
      <c r="AR591" t="s">
        <v>8297</v>
      </c>
      <c r="AS591" t="s">
        <v>8298</v>
      </c>
      <c r="AT591" t="s">
        <v>8299</v>
      </c>
      <c r="AU591">
        <v>2002</v>
      </c>
      <c r="AV591">
        <v>278</v>
      </c>
      <c r="AW591">
        <v>2</v>
      </c>
      <c r="AX591" t="s">
        <v>74</v>
      </c>
      <c r="AY591" t="s">
        <v>74</v>
      </c>
      <c r="AZ591" t="s">
        <v>74</v>
      </c>
      <c r="BA591" t="s">
        <v>74</v>
      </c>
      <c r="BB591">
        <v>179</v>
      </c>
      <c r="BC591">
        <v>194</v>
      </c>
      <c r="BD591" t="s">
        <v>8300</v>
      </c>
      <c r="BE591" t="s">
        <v>8301</v>
      </c>
      <c r="BF591" t="str">
        <f>HYPERLINK("http://dx.doi.org/10.1016/S0022-0981(02)00333-7","http://dx.doi.org/10.1016/S0022-0981(02)00333-7")</f>
        <v>http://dx.doi.org/10.1016/S0022-0981(02)00333-7</v>
      </c>
      <c r="BG591" t="s">
        <v>74</v>
      </c>
      <c r="BH591" t="s">
        <v>74</v>
      </c>
      <c r="BI591">
        <v>16</v>
      </c>
      <c r="BJ591" t="s">
        <v>7493</v>
      </c>
      <c r="BK591" t="s">
        <v>569</v>
      </c>
      <c r="BL591" t="s">
        <v>7494</v>
      </c>
      <c r="BM591" t="s">
        <v>8302</v>
      </c>
      <c r="BN591" t="s">
        <v>74</v>
      </c>
      <c r="BO591" t="s">
        <v>74</v>
      </c>
      <c r="BP591" t="s">
        <v>74</v>
      </c>
      <c r="BQ591" t="s">
        <v>74</v>
      </c>
      <c r="BR591" t="s">
        <v>98</v>
      </c>
      <c r="BS591" t="s">
        <v>8303</v>
      </c>
      <c r="BT591" t="str">
        <f>HYPERLINK("https%3A%2F%2Fwww.webofscience.com%2Fwos%2Fwoscc%2Ffull-record%2FWOS:000178469000006","View Full Record in Web of Science")</f>
        <v>View Full Record in Web of Science</v>
      </c>
    </row>
    <row r="592" spans="1:72" x14ac:dyDescent="0.15">
      <c r="A592" t="s">
        <v>552</v>
      </c>
      <c r="B592" t="s">
        <v>8304</v>
      </c>
      <c r="C592" t="s">
        <v>74</v>
      </c>
      <c r="D592" t="s">
        <v>74</v>
      </c>
      <c r="E592" t="s">
        <v>74</v>
      </c>
      <c r="F592" t="s">
        <v>8304</v>
      </c>
      <c r="G592" t="s">
        <v>74</v>
      </c>
      <c r="H592" t="s">
        <v>74</v>
      </c>
      <c r="I592" t="s">
        <v>8305</v>
      </c>
      <c r="J592" t="s">
        <v>6844</v>
      </c>
      <c r="K592" t="s">
        <v>74</v>
      </c>
      <c r="L592" t="s">
        <v>74</v>
      </c>
      <c r="M592" t="s">
        <v>78</v>
      </c>
      <c r="N592" t="s">
        <v>1987</v>
      </c>
      <c r="O592" t="s">
        <v>74</v>
      </c>
      <c r="P592" t="s">
        <v>74</v>
      </c>
      <c r="Q592" t="s">
        <v>74</v>
      </c>
      <c r="R592" t="s">
        <v>74</v>
      </c>
      <c r="S592" t="s">
        <v>74</v>
      </c>
      <c r="T592" t="s">
        <v>74</v>
      </c>
      <c r="U592" t="s">
        <v>74</v>
      </c>
      <c r="V592" t="s">
        <v>74</v>
      </c>
      <c r="W592" t="s">
        <v>3992</v>
      </c>
      <c r="X592" t="s">
        <v>239</v>
      </c>
      <c r="Y592" t="s">
        <v>8306</v>
      </c>
      <c r="Z592" t="s">
        <v>74</v>
      </c>
      <c r="AA592" t="s">
        <v>74</v>
      </c>
      <c r="AB592" t="s">
        <v>74</v>
      </c>
      <c r="AC592" t="s">
        <v>74</v>
      </c>
      <c r="AD592" t="s">
        <v>74</v>
      </c>
      <c r="AE592" t="s">
        <v>74</v>
      </c>
      <c r="AF592" t="s">
        <v>74</v>
      </c>
      <c r="AG592">
        <v>0</v>
      </c>
      <c r="AH592">
        <v>0</v>
      </c>
      <c r="AI592">
        <v>0</v>
      </c>
      <c r="AJ592">
        <v>0</v>
      </c>
      <c r="AK592">
        <v>1</v>
      </c>
      <c r="AL592" t="s">
        <v>6845</v>
      </c>
      <c r="AM592" t="s">
        <v>6846</v>
      </c>
      <c r="AN592" t="s">
        <v>6847</v>
      </c>
      <c r="AO592" t="s">
        <v>6848</v>
      </c>
      <c r="AP592" t="s">
        <v>74</v>
      </c>
      <c r="AQ592" t="s">
        <v>74</v>
      </c>
      <c r="AR592" t="s">
        <v>6849</v>
      </c>
      <c r="AS592" t="s">
        <v>6850</v>
      </c>
      <c r="AT592" t="s">
        <v>8307</v>
      </c>
      <c r="AU592">
        <v>2002</v>
      </c>
      <c r="AV592">
        <v>176</v>
      </c>
      <c r="AW592">
        <v>2366</v>
      </c>
      <c r="AX592" t="s">
        <v>74</v>
      </c>
      <c r="AY592" t="s">
        <v>74</v>
      </c>
      <c r="AZ592" t="s">
        <v>74</v>
      </c>
      <c r="BA592" t="s">
        <v>74</v>
      </c>
      <c r="BB592">
        <v>69</v>
      </c>
      <c r="BC592">
        <v>69</v>
      </c>
      <c r="BD592" t="s">
        <v>74</v>
      </c>
      <c r="BE592" t="s">
        <v>74</v>
      </c>
      <c r="BF592" t="s">
        <v>74</v>
      </c>
      <c r="BG592" t="s">
        <v>74</v>
      </c>
      <c r="BH592" t="s">
        <v>74</v>
      </c>
      <c r="BI592">
        <v>1</v>
      </c>
      <c r="BJ592" t="s">
        <v>5596</v>
      </c>
      <c r="BK592" t="s">
        <v>569</v>
      </c>
      <c r="BL592" t="s">
        <v>5597</v>
      </c>
      <c r="BM592" t="s">
        <v>8308</v>
      </c>
      <c r="BN592" t="s">
        <v>74</v>
      </c>
      <c r="BO592" t="s">
        <v>74</v>
      </c>
      <c r="BP592" t="s">
        <v>74</v>
      </c>
      <c r="BQ592" t="s">
        <v>74</v>
      </c>
      <c r="BR592" t="s">
        <v>98</v>
      </c>
      <c r="BS592" t="s">
        <v>8309</v>
      </c>
      <c r="BT592" t="str">
        <f>HYPERLINK("https%3A%2F%2Fwww.webofscience.com%2Fwos%2Fwoscc%2Ffull-record%2FWOS:000178883000050","View Full Record in Web of Science")</f>
        <v>View Full Record in Web of Science</v>
      </c>
    </row>
    <row r="593" spans="1:72" x14ac:dyDescent="0.15">
      <c r="A593" t="s">
        <v>552</v>
      </c>
      <c r="B593" t="s">
        <v>8310</v>
      </c>
      <c r="C593" t="s">
        <v>74</v>
      </c>
      <c r="D593" t="s">
        <v>74</v>
      </c>
      <c r="E593" t="s">
        <v>74</v>
      </c>
      <c r="F593" t="s">
        <v>8310</v>
      </c>
      <c r="G593" t="s">
        <v>74</v>
      </c>
      <c r="H593" t="s">
        <v>74</v>
      </c>
      <c r="I593" t="s">
        <v>8311</v>
      </c>
      <c r="J593" t="s">
        <v>8312</v>
      </c>
      <c r="K593" t="s">
        <v>74</v>
      </c>
      <c r="L593" t="s">
        <v>74</v>
      </c>
      <c r="M593" t="s">
        <v>78</v>
      </c>
      <c r="N593" t="s">
        <v>775</v>
      </c>
      <c r="O593" t="s">
        <v>74</v>
      </c>
      <c r="P593" t="s">
        <v>74</v>
      </c>
      <c r="Q593" t="s">
        <v>74</v>
      </c>
      <c r="R593" t="s">
        <v>74</v>
      </c>
      <c r="S593" t="s">
        <v>74</v>
      </c>
      <c r="T593" t="s">
        <v>8313</v>
      </c>
      <c r="U593" t="s">
        <v>8314</v>
      </c>
      <c r="V593" t="s">
        <v>8315</v>
      </c>
      <c r="W593" t="s">
        <v>8316</v>
      </c>
      <c r="X593" t="s">
        <v>8317</v>
      </c>
      <c r="Y593" t="s">
        <v>8318</v>
      </c>
      <c r="Z593" t="s">
        <v>8319</v>
      </c>
      <c r="AA593" t="s">
        <v>74</v>
      </c>
      <c r="AB593" t="s">
        <v>74</v>
      </c>
      <c r="AC593" t="s">
        <v>74</v>
      </c>
      <c r="AD593" t="s">
        <v>74</v>
      </c>
      <c r="AE593" t="s">
        <v>74</v>
      </c>
      <c r="AF593" t="s">
        <v>74</v>
      </c>
      <c r="AG593">
        <v>74</v>
      </c>
      <c r="AH593">
        <v>54</v>
      </c>
      <c r="AI593">
        <v>61</v>
      </c>
      <c r="AJ593">
        <v>2</v>
      </c>
      <c r="AK593">
        <v>49</v>
      </c>
      <c r="AL593" t="s">
        <v>3209</v>
      </c>
      <c r="AM593" t="s">
        <v>3210</v>
      </c>
      <c r="AN593" t="s">
        <v>3211</v>
      </c>
      <c r="AO593" t="s">
        <v>8320</v>
      </c>
      <c r="AP593" t="s">
        <v>8321</v>
      </c>
      <c r="AQ593" t="s">
        <v>74</v>
      </c>
      <c r="AR593" t="s">
        <v>8322</v>
      </c>
      <c r="AS593" t="s">
        <v>8323</v>
      </c>
      <c r="AT593" t="s">
        <v>8324</v>
      </c>
      <c r="AU593">
        <v>2002</v>
      </c>
      <c r="AV593">
        <v>29</v>
      </c>
      <c r="AW593">
        <v>3</v>
      </c>
      <c r="AX593" t="s">
        <v>74</v>
      </c>
      <c r="AY593" t="s">
        <v>74</v>
      </c>
      <c r="AZ593" t="s">
        <v>74</v>
      </c>
      <c r="BA593" t="s">
        <v>74</v>
      </c>
      <c r="BB593">
        <v>287</v>
      </c>
      <c r="BC593">
        <v>296</v>
      </c>
      <c r="BD593" t="s">
        <v>74</v>
      </c>
      <c r="BE593" t="s">
        <v>8325</v>
      </c>
      <c r="BF593" t="str">
        <f>HYPERLINK("http://dx.doi.org/10.3354/ame029287","http://dx.doi.org/10.3354/ame029287")</f>
        <v>http://dx.doi.org/10.3354/ame029287</v>
      </c>
      <c r="BG593" t="s">
        <v>74</v>
      </c>
      <c r="BH593" t="s">
        <v>74</v>
      </c>
      <c r="BI593">
        <v>10</v>
      </c>
      <c r="BJ593" t="s">
        <v>8326</v>
      </c>
      <c r="BK593" t="s">
        <v>569</v>
      </c>
      <c r="BL593" t="s">
        <v>8327</v>
      </c>
      <c r="BM593" t="s">
        <v>8328</v>
      </c>
      <c r="BN593" t="s">
        <v>74</v>
      </c>
      <c r="BO593" t="s">
        <v>572</v>
      </c>
      <c r="BP593" t="s">
        <v>74</v>
      </c>
      <c r="BQ593" t="s">
        <v>74</v>
      </c>
      <c r="BR593" t="s">
        <v>98</v>
      </c>
      <c r="BS593" t="s">
        <v>8329</v>
      </c>
      <c r="BT593" t="str">
        <f>HYPERLINK("https%3A%2F%2Fwww.webofscience.com%2Fwos%2Fwoscc%2Ffull-record%2FWOS:000179257300007","View Full Record in Web of Science")</f>
        <v>View Full Record in Web of Science</v>
      </c>
    </row>
    <row r="594" spans="1:72" x14ac:dyDescent="0.15">
      <c r="A594" t="s">
        <v>552</v>
      </c>
      <c r="B594" t="s">
        <v>8330</v>
      </c>
      <c r="C594" t="s">
        <v>74</v>
      </c>
      <c r="D594" t="s">
        <v>74</v>
      </c>
      <c r="E594" t="s">
        <v>74</v>
      </c>
      <c r="F594" t="s">
        <v>8330</v>
      </c>
      <c r="G594" t="s">
        <v>74</v>
      </c>
      <c r="H594" t="s">
        <v>74</v>
      </c>
      <c r="I594" t="s">
        <v>8331</v>
      </c>
      <c r="J594" t="s">
        <v>8312</v>
      </c>
      <c r="K594" t="s">
        <v>74</v>
      </c>
      <c r="L594" t="s">
        <v>74</v>
      </c>
      <c r="M594" t="s">
        <v>78</v>
      </c>
      <c r="N594" t="s">
        <v>775</v>
      </c>
      <c r="O594" t="s">
        <v>74</v>
      </c>
      <c r="P594" t="s">
        <v>74</v>
      </c>
      <c r="Q594" t="s">
        <v>74</v>
      </c>
      <c r="R594" t="s">
        <v>74</v>
      </c>
      <c r="S594" t="s">
        <v>74</v>
      </c>
      <c r="T594" t="s">
        <v>8332</v>
      </c>
      <c r="U594" t="s">
        <v>8333</v>
      </c>
      <c r="V594" t="s">
        <v>8334</v>
      </c>
      <c r="W594" t="s">
        <v>8335</v>
      </c>
      <c r="X594" t="s">
        <v>8336</v>
      </c>
      <c r="Y594" t="s">
        <v>8337</v>
      </c>
      <c r="Z594" t="s">
        <v>74</v>
      </c>
      <c r="AA594" t="s">
        <v>8338</v>
      </c>
      <c r="AB594" t="s">
        <v>8339</v>
      </c>
      <c r="AC594" t="s">
        <v>74</v>
      </c>
      <c r="AD594" t="s">
        <v>74</v>
      </c>
      <c r="AE594" t="s">
        <v>74</v>
      </c>
      <c r="AF594" t="s">
        <v>74</v>
      </c>
      <c r="AG594">
        <v>44</v>
      </c>
      <c r="AH594">
        <v>34</v>
      </c>
      <c r="AI594">
        <v>37</v>
      </c>
      <c r="AJ594">
        <v>0</v>
      </c>
      <c r="AK594">
        <v>13</v>
      </c>
      <c r="AL594" t="s">
        <v>3209</v>
      </c>
      <c r="AM594" t="s">
        <v>3210</v>
      </c>
      <c r="AN594" t="s">
        <v>3211</v>
      </c>
      <c r="AO594" t="s">
        <v>8320</v>
      </c>
      <c r="AP594" t="s">
        <v>74</v>
      </c>
      <c r="AQ594" t="s">
        <v>74</v>
      </c>
      <c r="AR594" t="s">
        <v>8322</v>
      </c>
      <c r="AS594" t="s">
        <v>8323</v>
      </c>
      <c r="AT594" t="s">
        <v>8324</v>
      </c>
      <c r="AU594">
        <v>2002</v>
      </c>
      <c r="AV594">
        <v>29</v>
      </c>
      <c r="AW594">
        <v>3</v>
      </c>
      <c r="AX594" t="s">
        <v>74</v>
      </c>
      <c r="AY594" t="s">
        <v>74</v>
      </c>
      <c r="AZ594" t="s">
        <v>74</v>
      </c>
      <c r="BA594" t="s">
        <v>74</v>
      </c>
      <c r="BB594">
        <v>297</v>
      </c>
      <c r="BC594">
        <v>306</v>
      </c>
      <c r="BD594" t="s">
        <v>74</v>
      </c>
      <c r="BE594" t="s">
        <v>8340</v>
      </c>
      <c r="BF594" t="str">
        <f>HYPERLINK("http://dx.doi.org/10.3354/ame029297","http://dx.doi.org/10.3354/ame029297")</f>
        <v>http://dx.doi.org/10.3354/ame029297</v>
      </c>
      <c r="BG594" t="s">
        <v>74</v>
      </c>
      <c r="BH594" t="s">
        <v>74</v>
      </c>
      <c r="BI594">
        <v>10</v>
      </c>
      <c r="BJ594" t="s">
        <v>8326</v>
      </c>
      <c r="BK594" t="s">
        <v>569</v>
      </c>
      <c r="BL594" t="s">
        <v>8327</v>
      </c>
      <c r="BM594" t="s">
        <v>8328</v>
      </c>
      <c r="BN594" t="s">
        <v>74</v>
      </c>
      <c r="BO594" t="s">
        <v>8341</v>
      </c>
      <c r="BP594" t="s">
        <v>74</v>
      </c>
      <c r="BQ594" t="s">
        <v>74</v>
      </c>
      <c r="BR594" t="s">
        <v>98</v>
      </c>
      <c r="BS594" t="s">
        <v>8342</v>
      </c>
      <c r="BT594" t="str">
        <f>HYPERLINK("https%3A%2F%2Fwww.webofscience.com%2Fwos%2Fwoscc%2Ffull-record%2FWOS:000179257300008","View Full Record in Web of Science")</f>
        <v>View Full Record in Web of Science</v>
      </c>
    </row>
    <row r="595" spans="1:72" x14ac:dyDescent="0.15">
      <c r="A595" t="s">
        <v>552</v>
      </c>
      <c r="B595" t="s">
        <v>8343</v>
      </c>
      <c r="C595" t="s">
        <v>74</v>
      </c>
      <c r="D595" t="s">
        <v>74</v>
      </c>
      <c r="E595" t="s">
        <v>74</v>
      </c>
      <c r="F595" t="s">
        <v>8343</v>
      </c>
      <c r="G595" t="s">
        <v>74</v>
      </c>
      <c r="H595" t="s">
        <v>74</v>
      </c>
      <c r="I595" t="s">
        <v>8344</v>
      </c>
      <c r="J595" t="s">
        <v>8345</v>
      </c>
      <c r="K595" t="s">
        <v>74</v>
      </c>
      <c r="L595" t="s">
        <v>74</v>
      </c>
      <c r="M595" t="s">
        <v>78</v>
      </c>
      <c r="N595" t="s">
        <v>775</v>
      </c>
      <c r="O595" t="s">
        <v>74</v>
      </c>
      <c r="P595" t="s">
        <v>74</v>
      </c>
      <c r="Q595" t="s">
        <v>74</v>
      </c>
      <c r="R595" t="s">
        <v>74</v>
      </c>
      <c r="S595" t="s">
        <v>74</v>
      </c>
      <c r="T595" t="s">
        <v>8346</v>
      </c>
      <c r="U595" t="s">
        <v>8347</v>
      </c>
      <c r="V595" t="s">
        <v>8348</v>
      </c>
      <c r="W595" t="s">
        <v>8349</v>
      </c>
      <c r="X595" t="s">
        <v>8350</v>
      </c>
      <c r="Y595" t="s">
        <v>2955</v>
      </c>
      <c r="Z595" t="s">
        <v>8351</v>
      </c>
      <c r="AA595" t="s">
        <v>8352</v>
      </c>
      <c r="AB595" t="s">
        <v>8353</v>
      </c>
      <c r="AC595" t="s">
        <v>74</v>
      </c>
      <c r="AD595" t="s">
        <v>74</v>
      </c>
      <c r="AE595" t="s">
        <v>74</v>
      </c>
      <c r="AF595" t="s">
        <v>74</v>
      </c>
      <c r="AG595">
        <v>36</v>
      </c>
      <c r="AH595">
        <v>31</v>
      </c>
      <c r="AI595">
        <v>35</v>
      </c>
      <c r="AJ595">
        <v>1</v>
      </c>
      <c r="AK595">
        <v>7</v>
      </c>
      <c r="AL595" t="s">
        <v>1860</v>
      </c>
      <c r="AM595" t="s">
        <v>1861</v>
      </c>
      <c r="AN595" t="s">
        <v>1862</v>
      </c>
      <c r="AO595" t="s">
        <v>8354</v>
      </c>
      <c r="AP595" t="s">
        <v>8355</v>
      </c>
      <c r="AQ595" t="s">
        <v>74</v>
      </c>
      <c r="AR595" t="s">
        <v>8345</v>
      </c>
      <c r="AS595" t="s">
        <v>8356</v>
      </c>
      <c r="AT595" t="s">
        <v>8357</v>
      </c>
      <c r="AU595">
        <v>2002</v>
      </c>
      <c r="AV595">
        <v>299</v>
      </c>
      <c r="AW595" t="s">
        <v>1866</v>
      </c>
      <c r="AX595" t="s">
        <v>74</v>
      </c>
      <c r="AY595" t="s">
        <v>74</v>
      </c>
      <c r="AZ595" t="s">
        <v>74</v>
      </c>
      <c r="BA595" t="s">
        <v>74</v>
      </c>
      <c r="BB595">
        <v>117</v>
      </c>
      <c r="BC595">
        <v>124</v>
      </c>
      <c r="BD595" t="s">
        <v>8358</v>
      </c>
      <c r="BE595" t="s">
        <v>8359</v>
      </c>
      <c r="BF595" t="str">
        <f>HYPERLINK("http://dx.doi.org/10.1016/S0378-1119(02)01020-X","http://dx.doi.org/10.1016/S0378-1119(02)01020-X")</f>
        <v>http://dx.doi.org/10.1016/S0378-1119(02)01020-X</v>
      </c>
      <c r="BG595" t="s">
        <v>74</v>
      </c>
      <c r="BH595" t="s">
        <v>74</v>
      </c>
      <c r="BI595">
        <v>8</v>
      </c>
      <c r="BJ595" t="s">
        <v>8360</v>
      </c>
      <c r="BK595" t="s">
        <v>569</v>
      </c>
      <c r="BL595" t="s">
        <v>8360</v>
      </c>
      <c r="BM595" t="s">
        <v>8361</v>
      </c>
      <c r="BN595">
        <v>12459259</v>
      </c>
      <c r="BO595" t="s">
        <v>74</v>
      </c>
      <c r="BP595" t="s">
        <v>74</v>
      </c>
      <c r="BQ595" t="s">
        <v>74</v>
      </c>
      <c r="BR595" t="s">
        <v>98</v>
      </c>
      <c r="BS595" t="s">
        <v>8362</v>
      </c>
      <c r="BT595" t="str">
        <f>HYPERLINK("https%3A%2F%2Fwww.webofscience.com%2Fwos%2Fwoscc%2Ffull-record%2FWOS:000179841600010","View Full Record in Web of Science")</f>
        <v>View Full Record in Web of Science</v>
      </c>
    </row>
    <row r="596" spans="1:72" x14ac:dyDescent="0.15">
      <c r="A596" t="s">
        <v>552</v>
      </c>
      <c r="B596" t="s">
        <v>8363</v>
      </c>
      <c r="C596" t="s">
        <v>74</v>
      </c>
      <c r="D596" t="s">
        <v>74</v>
      </c>
      <c r="E596" t="s">
        <v>74</v>
      </c>
      <c r="F596" t="s">
        <v>8363</v>
      </c>
      <c r="G596" t="s">
        <v>74</v>
      </c>
      <c r="H596" t="s">
        <v>74</v>
      </c>
      <c r="I596" t="s">
        <v>8364</v>
      </c>
      <c r="J596" t="s">
        <v>5162</v>
      </c>
      <c r="K596" t="s">
        <v>74</v>
      </c>
      <c r="L596" t="s">
        <v>74</v>
      </c>
      <c r="M596" t="s">
        <v>78</v>
      </c>
      <c r="N596" t="s">
        <v>775</v>
      </c>
      <c r="O596" t="s">
        <v>74</v>
      </c>
      <c r="P596" t="s">
        <v>74</v>
      </c>
      <c r="Q596" t="s">
        <v>74</v>
      </c>
      <c r="R596" t="s">
        <v>74</v>
      </c>
      <c r="S596" t="s">
        <v>74</v>
      </c>
      <c r="T596" t="s">
        <v>74</v>
      </c>
      <c r="U596" t="s">
        <v>8365</v>
      </c>
      <c r="V596" t="s">
        <v>8366</v>
      </c>
      <c r="W596" t="s">
        <v>8367</v>
      </c>
      <c r="X596" t="s">
        <v>6697</v>
      </c>
      <c r="Y596" t="s">
        <v>8368</v>
      </c>
      <c r="Z596" t="s">
        <v>74</v>
      </c>
      <c r="AA596" t="s">
        <v>8369</v>
      </c>
      <c r="AB596" t="s">
        <v>74</v>
      </c>
      <c r="AC596" t="s">
        <v>74</v>
      </c>
      <c r="AD596" t="s">
        <v>74</v>
      </c>
      <c r="AE596" t="s">
        <v>74</v>
      </c>
      <c r="AF596" t="s">
        <v>74</v>
      </c>
      <c r="AG596">
        <v>20</v>
      </c>
      <c r="AH596">
        <v>44</v>
      </c>
      <c r="AI596">
        <v>45</v>
      </c>
      <c r="AJ596">
        <v>0</v>
      </c>
      <c r="AK596">
        <v>5</v>
      </c>
      <c r="AL596" t="s">
        <v>387</v>
      </c>
      <c r="AM596" t="s">
        <v>388</v>
      </c>
      <c r="AN596" t="s">
        <v>389</v>
      </c>
      <c r="AO596" t="s">
        <v>5169</v>
      </c>
      <c r="AP596" t="s">
        <v>74</v>
      </c>
      <c r="AQ596" t="s">
        <v>74</v>
      </c>
      <c r="AR596" t="s">
        <v>5171</v>
      </c>
      <c r="AS596" t="s">
        <v>5172</v>
      </c>
      <c r="AT596" t="s">
        <v>8370</v>
      </c>
      <c r="AU596">
        <v>2002</v>
      </c>
      <c r="AV596">
        <v>29</v>
      </c>
      <c r="AW596">
        <v>20</v>
      </c>
      <c r="AX596" t="s">
        <v>74</v>
      </c>
      <c r="AY596" t="s">
        <v>74</v>
      </c>
      <c r="AZ596" t="s">
        <v>74</v>
      </c>
      <c r="BA596" t="s">
        <v>74</v>
      </c>
      <c r="BB596" t="s">
        <v>74</v>
      </c>
      <c r="BC596" t="s">
        <v>74</v>
      </c>
      <c r="BD596">
        <v>1950</v>
      </c>
      <c r="BE596" t="s">
        <v>8371</v>
      </c>
      <c r="BF596" t="str">
        <f>HYPERLINK("http://dx.doi.org/10.1029/2002GL015733","http://dx.doi.org/10.1029/2002GL015733")</f>
        <v>http://dx.doi.org/10.1029/2002GL015733</v>
      </c>
      <c r="BG596" t="s">
        <v>74</v>
      </c>
      <c r="BH596" t="s">
        <v>74</v>
      </c>
      <c r="BI596">
        <v>4</v>
      </c>
      <c r="BJ596" t="s">
        <v>1813</v>
      </c>
      <c r="BK596" t="s">
        <v>569</v>
      </c>
      <c r="BL596" t="s">
        <v>1814</v>
      </c>
      <c r="BM596" t="s">
        <v>8372</v>
      </c>
      <c r="BN596" t="s">
        <v>74</v>
      </c>
      <c r="BO596" t="s">
        <v>74</v>
      </c>
      <c r="BP596" t="s">
        <v>74</v>
      </c>
      <c r="BQ596" t="s">
        <v>74</v>
      </c>
      <c r="BR596" t="s">
        <v>98</v>
      </c>
      <c r="BS596" t="s">
        <v>8373</v>
      </c>
      <c r="BT596" t="str">
        <f>HYPERLINK("https%3A%2F%2Fwww.webofscience.com%2Fwos%2Fwoscc%2Ffull-record%2FWOS:000180607700011","View Full Record in Web of Science")</f>
        <v>View Full Record in Web of Science</v>
      </c>
    </row>
    <row r="597" spans="1:72" x14ac:dyDescent="0.15">
      <c r="A597" t="s">
        <v>552</v>
      </c>
      <c r="B597" t="s">
        <v>8374</v>
      </c>
      <c r="C597" t="s">
        <v>74</v>
      </c>
      <c r="D597" t="s">
        <v>74</v>
      </c>
      <c r="E597" t="s">
        <v>74</v>
      </c>
      <c r="F597" t="s">
        <v>8374</v>
      </c>
      <c r="G597" t="s">
        <v>74</v>
      </c>
      <c r="H597" t="s">
        <v>74</v>
      </c>
      <c r="I597" t="s">
        <v>8375</v>
      </c>
      <c r="J597" t="s">
        <v>5162</v>
      </c>
      <c r="K597" t="s">
        <v>74</v>
      </c>
      <c r="L597" t="s">
        <v>74</v>
      </c>
      <c r="M597" t="s">
        <v>78</v>
      </c>
      <c r="N597" t="s">
        <v>775</v>
      </c>
      <c r="O597" t="s">
        <v>74</v>
      </c>
      <c r="P597" t="s">
        <v>74</v>
      </c>
      <c r="Q597" t="s">
        <v>74</v>
      </c>
      <c r="R597" t="s">
        <v>74</v>
      </c>
      <c r="S597" t="s">
        <v>74</v>
      </c>
      <c r="T597" t="s">
        <v>74</v>
      </c>
      <c r="U597" t="s">
        <v>8376</v>
      </c>
      <c r="V597" t="s">
        <v>8377</v>
      </c>
      <c r="W597" t="s">
        <v>8378</v>
      </c>
      <c r="X597" t="s">
        <v>8379</v>
      </c>
      <c r="Y597" t="s">
        <v>8380</v>
      </c>
      <c r="Z597" t="s">
        <v>74</v>
      </c>
      <c r="AA597" t="s">
        <v>8381</v>
      </c>
      <c r="AB597" t="s">
        <v>8382</v>
      </c>
      <c r="AC597" t="s">
        <v>74</v>
      </c>
      <c r="AD597" t="s">
        <v>74</v>
      </c>
      <c r="AE597" t="s">
        <v>74</v>
      </c>
      <c r="AF597" t="s">
        <v>74</v>
      </c>
      <c r="AG597">
        <v>22</v>
      </c>
      <c r="AH597">
        <v>115</v>
      </c>
      <c r="AI597">
        <v>129</v>
      </c>
      <c r="AJ597">
        <v>1</v>
      </c>
      <c r="AK597">
        <v>26</v>
      </c>
      <c r="AL597" t="s">
        <v>387</v>
      </c>
      <c r="AM597" t="s">
        <v>388</v>
      </c>
      <c r="AN597" t="s">
        <v>389</v>
      </c>
      <c r="AO597" t="s">
        <v>5169</v>
      </c>
      <c r="AP597" t="s">
        <v>74</v>
      </c>
      <c r="AQ597" t="s">
        <v>74</v>
      </c>
      <c r="AR597" t="s">
        <v>5171</v>
      </c>
      <c r="AS597" t="s">
        <v>5172</v>
      </c>
      <c r="AT597" t="s">
        <v>8370</v>
      </c>
      <c r="AU597">
        <v>2002</v>
      </c>
      <c r="AV597">
        <v>29</v>
      </c>
      <c r="AW597">
        <v>20</v>
      </c>
      <c r="AX597" t="s">
        <v>74</v>
      </c>
      <c r="AY597" t="s">
        <v>74</v>
      </c>
      <c r="AZ597" t="s">
        <v>74</v>
      </c>
      <c r="BA597" t="s">
        <v>74</v>
      </c>
      <c r="BB597" t="s">
        <v>74</v>
      </c>
      <c r="BC597" t="s">
        <v>74</v>
      </c>
      <c r="BD597">
        <v>1963</v>
      </c>
      <c r="BE597" t="s">
        <v>8383</v>
      </c>
      <c r="BF597" t="str">
        <f>HYPERLINK("http://dx.doi.org/10.1029/2002GL015186","http://dx.doi.org/10.1029/2002GL015186")</f>
        <v>http://dx.doi.org/10.1029/2002GL015186</v>
      </c>
      <c r="BG597" t="s">
        <v>74</v>
      </c>
      <c r="BH597" t="s">
        <v>74</v>
      </c>
      <c r="BI597">
        <v>4</v>
      </c>
      <c r="BJ597" t="s">
        <v>1813</v>
      </c>
      <c r="BK597" t="s">
        <v>569</v>
      </c>
      <c r="BL597" t="s">
        <v>1814</v>
      </c>
      <c r="BM597" t="s">
        <v>8372</v>
      </c>
      <c r="BN597" t="s">
        <v>74</v>
      </c>
      <c r="BO597" t="s">
        <v>3298</v>
      </c>
      <c r="BP597" t="s">
        <v>74</v>
      </c>
      <c r="BQ597" t="s">
        <v>74</v>
      </c>
      <c r="BR597" t="s">
        <v>98</v>
      </c>
      <c r="BS597" t="s">
        <v>8384</v>
      </c>
      <c r="BT597" t="str">
        <f>HYPERLINK("https%3A%2F%2Fwww.webofscience.com%2Fwos%2Fwoscc%2Ffull-record%2FWOS:000180607700024","View Full Record in Web of Science")</f>
        <v>View Full Record in Web of Science</v>
      </c>
    </row>
    <row r="598" spans="1:72" x14ac:dyDescent="0.15">
      <c r="A598" t="s">
        <v>552</v>
      </c>
      <c r="B598" t="s">
        <v>8385</v>
      </c>
      <c r="C598" t="s">
        <v>74</v>
      </c>
      <c r="D598" t="s">
        <v>74</v>
      </c>
      <c r="E598" t="s">
        <v>74</v>
      </c>
      <c r="F598" t="s">
        <v>8385</v>
      </c>
      <c r="G598" t="s">
        <v>74</v>
      </c>
      <c r="H598" t="s">
        <v>74</v>
      </c>
      <c r="I598" t="s">
        <v>8386</v>
      </c>
      <c r="J598" t="s">
        <v>5162</v>
      </c>
      <c r="K598" t="s">
        <v>74</v>
      </c>
      <c r="L598" t="s">
        <v>74</v>
      </c>
      <c r="M598" t="s">
        <v>78</v>
      </c>
      <c r="N598" t="s">
        <v>775</v>
      </c>
      <c r="O598" t="s">
        <v>74</v>
      </c>
      <c r="P598" t="s">
        <v>74</v>
      </c>
      <c r="Q598" t="s">
        <v>74</v>
      </c>
      <c r="R598" t="s">
        <v>74</v>
      </c>
      <c r="S598" t="s">
        <v>74</v>
      </c>
      <c r="T598" t="s">
        <v>74</v>
      </c>
      <c r="U598" t="s">
        <v>8387</v>
      </c>
      <c r="V598" t="s">
        <v>8388</v>
      </c>
      <c r="W598" t="s">
        <v>5619</v>
      </c>
      <c r="X598" t="s">
        <v>5620</v>
      </c>
      <c r="Y598" t="s">
        <v>8389</v>
      </c>
      <c r="Z598" t="s">
        <v>74</v>
      </c>
      <c r="AA598" t="s">
        <v>8390</v>
      </c>
      <c r="AB598" t="s">
        <v>8391</v>
      </c>
      <c r="AC598" t="s">
        <v>74</v>
      </c>
      <c r="AD598" t="s">
        <v>74</v>
      </c>
      <c r="AE598" t="s">
        <v>74</v>
      </c>
      <c r="AF598" t="s">
        <v>74</v>
      </c>
      <c r="AG598">
        <v>20</v>
      </c>
      <c r="AH598">
        <v>32</v>
      </c>
      <c r="AI598">
        <v>34</v>
      </c>
      <c r="AJ598">
        <v>1</v>
      </c>
      <c r="AK598">
        <v>5</v>
      </c>
      <c r="AL598" t="s">
        <v>387</v>
      </c>
      <c r="AM598" t="s">
        <v>388</v>
      </c>
      <c r="AN598" t="s">
        <v>389</v>
      </c>
      <c r="AO598" t="s">
        <v>5169</v>
      </c>
      <c r="AP598" t="s">
        <v>74</v>
      </c>
      <c r="AQ598" t="s">
        <v>74</v>
      </c>
      <c r="AR598" t="s">
        <v>5171</v>
      </c>
      <c r="AS598" t="s">
        <v>5172</v>
      </c>
      <c r="AT598" t="s">
        <v>8370</v>
      </c>
      <c r="AU598">
        <v>2002</v>
      </c>
      <c r="AV598">
        <v>29</v>
      </c>
      <c r="AW598">
        <v>20</v>
      </c>
      <c r="AX598" t="s">
        <v>74</v>
      </c>
      <c r="AY598" t="s">
        <v>74</v>
      </c>
      <c r="AZ598" t="s">
        <v>74</v>
      </c>
      <c r="BA598" t="s">
        <v>74</v>
      </c>
      <c r="BB598" t="s">
        <v>74</v>
      </c>
      <c r="BC598" t="s">
        <v>74</v>
      </c>
      <c r="BD598">
        <v>1964</v>
      </c>
      <c r="BE598" t="s">
        <v>8392</v>
      </c>
      <c r="BF598" t="str">
        <f>HYPERLINK("http://dx.doi.org/10.1029/2002GL015490","http://dx.doi.org/10.1029/2002GL015490")</f>
        <v>http://dx.doi.org/10.1029/2002GL015490</v>
      </c>
      <c r="BG598" t="s">
        <v>74</v>
      </c>
      <c r="BH598" t="s">
        <v>74</v>
      </c>
      <c r="BI598">
        <v>4</v>
      </c>
      <c r="BJ598" t="s">
        <v>1813</v>
      </c>
      <c r="BK598" t="s">
        <v>569</v>
      </c>
      <c r="BL598" t="s">
        <v>1814</v>
      </c>
      <c r="BM598" t="s">
        <v>8372</v>
      </c>
      <c r="BN598" t="s">
        <v>74</v>
      </c>
      <c r="BO598" t="s">
        <v>572</v>
      </c>
      <c r="BP598" t="s">
        <v>74</v>
      </c>
      <c r="BQ598" t="s">
        <v>74</v>
      </c>
      <c r="BR598" t="s">
        <v>98</v>
      </c>
      <c r="BS598" t="s">
        <v>8393</v>
      </c>
      <c r="BT598" t="str">
        <f>HYPERLINK("https%3A%2F%2Fwww.webofscience.com%2Fwos%2Fwoscc%2Ffull-record%2FWOS:000180607700025","View Full Record in Web of Science")</f>
        <v>View Full Record in Web of Science</v>
      </c>
    </row>
    <row r="599" spans="1:72" x14ac:dyDescent="0.15">
      <c r="A599" t="s">
        <v>552</v>
      </c>
      <c r="B599" t="s">
        <v>8394</v>
      </c>
      <c r="C599" t="s">
        <v>74</v>
      </c>
      <c r="D599" t="s">
        <v>74</v>
      </c>
      <c r="E599" t="s">
        <v>74</v>
      </c>
      <c r="F599" t="s">
        <v>8394</v>
      </c>
      <c r="G599" t="s">
        <v>74</v>
      </c>
      <c r="H599" t="s">
        <v>74</v>
      </c>
      <c r="I599" t="s">
        <v>8395</v>
      </c>
      <c r="J599" t="s">
        <v>5162</v>
      </c>
      <c r="K599" t="s">
        <v>74</v>
      </c>
      <c r="L599" t="s">
        <v>74</v>
      </c>
      <c r="M599" t="s">
        <v>78</v>
      </c>
      <c r="N599" t="s">
        <v>775</v>
      </c>
      <c r="O599" t="s">
        <v>74</v>
      </c>
      <c r="P599" t="s">
        <v>74</v>
      </c>
      <c r="Q599" t="s">
        <v>74</v>
      </c>
      <c r="R599" t="s">
        <v>74</v>
      </c>
      <c r="S599" t="s">
        <v>74</v>
      </c>
      <c r="T599" t="s">
        <v>74</v>
      </c>
      <c r="U599" t="s">
        <v>8396</v>
      </c>
      <c r="V599" t="s">
        <v>8397</v>
      </c>
      <c r="W599" t="s">
        <v>8398</v>
      </c>
      <c r="X599" t="s">
        <v>8399</v>
      </c>
      <c r="Y599" t="s">
        <v>8400</v>
      </c>
      <c r="Z599" t="s">
        <v>74</v>
      </c>
      <c r="AA599" t="s">
        <v>8401</v>
      </c>
      <c r="AB599" t="s">
        <v>5637</v>
      </c>
      <c r="AC599" t="s">
        <v>74</v>
      </c>
      <c r="AD599" t="s">
        <v>74</v>
      </c>
      <c r="AE599" t="s">
        <v>74</v>
      </c>
      <c r="AF599" t="s">
        <v>74</v>
      </c>
      <c r="AG599">
        <v>28</v>
      </c>
      <c r="AH599">
        <v>61</v>
      </c>
      <c r="AI599">
        <v>71</v>
      </c>
      <c r="AJ599">
        <v>0</v>
      </c>
      <c r="AK599">
        <v>25</v>
      </c>
      <c r="AL599" t="s">
        <v>387</v>
      </c>
      <c r="AM599" t="s">
        <v>388</v>
      </c>
      <c r="AN599" t="s">
        <v>389</v>
      </c>
      <c r="AO599" t="s">
        <v>5169</v>
      </c>
      <c r="AP599" t="s">
        <v>74</v>
      </c>
      <c r="AQ599" t="s">
        <v>74</v>
      </c>
      <c r="AR599" t="s">
        <v>5171</v>
      </c>
      <c r="AS599" t="s">
        <v>5172</v>
      </c>
      <c r="AT599" t="s">
        <v>8370</v>
      </c>
      <c r="AU599">
        <v>2002</v>
      </c>
      <c r="AV599">
        <v>29</v>
      </c>
      <c r="AW599">
        <v>20</v>
      </c>
      <c r="AX599" t="s">
        <v>74</v>
      </c>
      <c r="AY599" t="s">
        <v>74</v>
      </c>
      <c r="AZ599" t="s">
        <v>74</v>
      </c>
      <c r="BA599" t="s">
        <v>74</v>
      </c>
      <c r="BB599" t="s">
        <v>74</v>
      </c>
      <c r="BC599" t="s">
        <v>74</v>
      </c>
      <c r="BD599">
        <v>1944</v>
      </c>
      <c r="BE599" t="s">
        <v>8402</v>
      </c>
      <c r="BF599" t="str">
        <f>HYPERLINK("http://dx.doi.org/10.1029/2002GL015823","http://dx.doi.org/10.1029/2002GL015823")</f>
        <v>http://dx.doi.org/10.1029/2002GL015823</v>
      </c>
      <c r="BG599" t="s">
        <v>74</v>
      </c>
      <c r="BH599" t="s">
        <v>74</v>
      </c>
      <c r="BI599">
        <v>4</v>
      </c>
      <c r="BJ599" t="s">
        <v>1813</v>
      </c>
      <c r="BK599" t="s">
        <v>569</v>
      </c>
      <c r="BL599" t="s">
        <v>1814</v>
      </c>
      <c r="BM599" t="s">
        <v>8372</v>
      </c>
      <c r="BN599" t="s">
        <v>74</v>
      </c>
      <c r="BO599" t="s">
        <v>572</v>
      </c>
      <c r="BP599" t="s">
        <v>74</v>
      </c>
      <c r="BQ599" t="s">
        <v>74</v>
      </c>
      <c r="BR599" t="s">
        <v>98</v>
      </c>
      <c r="BS599" t="s">
        <v>8403</v>
      </c>
      <c r="BT599" t="str">
        <f>HYPERLINK("https%3A%2F%2Fwww.webofscience.com%2Fwos%2Fwoscc%2Ffull-record%2FWOS:000180607700005","View Full Record in Web of Science")</f>
        <v>View Full Record in Web of Science</v>
      </c>
    </row>
    <row r="600" spans="1:72" x14ac:dyDescent="0.15">
      <c r="A600" t="s">
        <v>552</v>
      </c>
      <c r="B600" t="s">
        <v>8404</v>
      </c>
      <c r="C600" t="s">
        <v>74</v>
      </c>
      <c r="D600" t="s">
        <v>74</v>
      </c>
      <c r="E600" t="s">
        <v>74</v>
      </c>
      <c r="F600" t="s">
        <v>8404</v>
      </c>
      <c r="G600" t="s">
        <v>74</v>
      </c>
      <c r="H600" t="s">
        <v>74</v>
      </c>
      <c r="I600" t="s">
        <v>8405</v>
      </c>
      <c r="J600" t="s">
        <v>4134</v>
      </c>
      <c r="K600" t="s">
        <v>74</v>
      </c>
      <c r="L600" t="s">
        <v>74</v>
      </c>
      <c r="M600" t="s">
        <v>78</v>
      </c>
      <c r="N600" t="s">
        <v>1114</v>
      </c>
      <c r="O600" t="s">
        <v>74</v>
      </c>
      <c r="P600" t="s">
        <v>74</v>
      </c>
      <c r="Q600" t="s">
        <v>74</v>
      </c>
      <c r="R600" t="s">
        <v>74</v>
      </c>
      <c r="S600" t="s">
        <v>74</v>
      </c>
      <c r="T600" t="s">
        <v>8406</v>
      </c>
      <c r="U600" t="s">
        <v>8407</v>
      </c>
      <c r="V600" t="s">
        <v>8408</v>
      </c>
      <c r="W600" t="s">
        <v>8409</v>
      </c>
      <c r="X600" t="s">
        <v>1592</v>
      </c>
      <c r="Y600" t="s">
        <v>8410</v>
      </c>
      <c r="Z600" t="s">
        <v>8411</v>
      </c>
      <c r="AA600" t="s">
        <v>173</v>
      </c>
      <c r="AB600" t="s">
        <v>74</v>
      </c>
      <c r="AC600" t="s">
        <v>74</v>
      </c>
      <c r="AD600" t="s">
        <v>74</v>
      </c>
      <c r="AE600" t="s">
        <v>74</v>
      </c>
      <c r="AF600" t="s">
        <v>74</v>
      </c>
      <c r="AG600">
        <v>129</v>
      </c>
      <c r="AH600">
        <v>16</v>
      </c>
      <c r="AI600">
        <v>18</v>
      </c>
      <c r="AJ600">
        <v>0</v>
      </c>
      <c r="AK600">
        <v>5</v>
      </c>
      <c r="AL600" t="s">
        <v>1860</v>
      </c>
      <c r="AM600" t="s">
        <v>1861</v>
      </c>
      <c r="AN600" t="s">
        <v>1862</v>
      </c>
      <c r="AO600" t="s">
        <v>4142</v>
      </c>
      <c r="AP600" t="s">
        <v>74</v>
      </c>
      <c r="AQ600" t="s">
        <v>74</v>
      </c>
      <c r="AR600" t="s">
        <v>4143</v>
      </c>
      <c r="AS600" t="s">
        <v>4144</v>
      </c>
      <c r="AT600" t="s">
        <v>8370</v>
      </c>
      <c r="AU600">
        <v>2002</v>
      </c>
      <c r="AV600">
        <v>186</v>
      </c>
      <c r="AW600" t="s">
        <v>1424</v>
      </c>
      <c r="AX600" t="s">
        <v>74</v>
      </c>
      <c r="AY600" t="s">
        <v>74</v>
      </c>
      <c r="AZ600" t="s">
        <v>74</v>
      </c>
      <c r="BA600" t="s">
        <v>74</v>
      </c>
      <c r="BB600">
        <v>335</v>
      </c>
      <c r="BC600">
        <v>368</v>
      </c>
      <c r="BD600" t="s">
        <v>8412</v>
      </c>
      <c r="BE600" t="s">
        <v>8413</v>
      </c>
      <c r="BF600" t="str">
        <f>HYPERLINK("http://dx.doi.org/10.1016/S0031-0182(02)00424-8","http://dx.doi.org/10.1016/S0031-0182(02)00424-8")</f>
        <v>http://dx.doi.org/10.1016/S0031-0182(02)00424-8</v>
      </c>
      <c r="BG600" t="s">
        <v>74</v>
      </c>
      <c r="BH600" t="s">
        <v>74</v>
      </c>
      <c r="BI600">
        <v>34</v>
      </c>
      <c r="BJ600" t="s">
        <v>4147</v>
      </c>
      <c r="BK600" t="s">
        <v>569</v>
      </c>
      <c r="BL600" t="s">
        <v>4148</v>
      </c>
      <c r="BM600" t="s">
        <v>8414</v>
      </c>
      <c r="BN600" t="s">
        <v>74</v>
      </c>
      <c r="BO600" t="s">
        <v>74</v>
      </c>
      <c r="BP600" t="s">
        <v>74</v>
      </c>
      <c r="BQ600" t="s">
        <v>74</v>
      </c>
      <c r="BR600" t="s">
        <v>98</v>
      </c>
      <c r="BS600" t="s">
        <v>8415</v>
      </c>
      <c r="BT600" t="str">
        <f>HYPERLINK("https%3A%2F%2Fwww.webofscience.com%2Fwos%2Fwoscc%2Ffull-record%2FWOS:000178922400008","View Full Record in Web of Science")</f>
        <v>View Full Record in Web of Science</v>
      </c>
    </row>
    <row r="601" spans="1:72" x14ac:dyDescent="0.15">
      <c r="A601" t="s">
        <v>552</v>
      </c>
      <c r="B601" t="s">
        <v>8416</v>
      </c>
      <c r="C601" t="s">
        <v>74</v>
      </c>
      <c r="D601" t="s">
        <v>74</v>
      </c>
      <c r="E601" t="s">
        <v>74</v>
      </c>
      <c r="F601" t="s">
        <v>8416</v>
      </c>
      <c r="G601" t="s">
        <v>74</v>
      </c>
      <c r="H601" t="s">
        <v>74</v>
      </c>
      <c r="I601" t="s">
        <v>8417</v>
      </c>
      <c r="J601" t="s">
        <v>8418</v>
      </c>
      <c r="K601" t="s">
        <v>74</v>
      </c>
      <c r="L601" t="s">
        <v>74</v>
      </c>
      <c r="M601" t="s">
        <v>78</v>
      </c>
      <c r="N601" t="s">
        <v>775</v>
      </c>
      <c r="O601" t="s">
        <v>74</v>
      </c>
      <c r="P601" t="s">
        <v>74</v>
      </c>
      <c r="Q601" t="s">
        <v>74</v>
      </c>
      <c r="R601" t="s">
        <v>74</v>
      </c>
      <c r="S601" t="s">
        <v>74</v>
      </c>
      <c r="T601" t="s">
        <v>74</v>
      </c>
      <c r="U601" t="s">
        <v>8419</v>
      </c>
      <c r="V601" t="s">
        <v>8420</v>
      </c>
      <c r="W601" t="s">
        <v>8421</v>
      </c>
      <c r="X601" t="s">
        <v>8422</v>
      </c>
      <c r="Y601" t="s">
        <v>8423</v>
      </c>
      <c r="Z601" t="s">
        <v>8424</v>
      </c>
      <c r="AA601" t="s">
        <v>8425</v>
      </c>
      <c r="AB601" t="s">
        <v>8426</v>
      </c>
      <c r="AC601" t="s">
        <v>74</v>
      </c>
      <c r="AD601" t="s">
        <v>74</v>
      </c>
      <c r="AE601" t="s">
        <v>74</v>
      </c>
      <c r="AF601" t="s">
        <v>74</v>
      </c>
      <c r="AG601">
        <v>18</v>
      </c>
      <c r="AH601">
        <v>9</v>
      </c>
      <c r="AI601">
        <v>11</v>
      </c>
      <c r="AJ601">
        <v>0</v>
      </c>
      <c r="AK601">
        <v>10</v>
      </c>
      <c r="AL601" t="s">
        <v>806</v>
      </c>
      <c r="AM601" t="s">
        <v>807</v>
      </c>
      <c r="AN601" t="s">
        <v>808</v>
      </c>
      <c r="AO601" t="s">
        <v>8427</v>
      </c>
      <c r="AP601" t="s">
        <v>74</v>
      </c>
      <c r="AQ601" t="s">
        <v>74</v>
      </c>
      <c r="AR601" t="s">
        <v>8418</v>
      </c>
      <c r="AS601" t="s">
        <v>8428</v>
      </c>
      <c r="AT601" t="s">
        <v>8429</v>
      </c>
      <c r="AU601">
        <v>2002</v>
      </c>
      <c r="AV601">
        <v>58</v>
      </c>
      <c r="AW601">
        <v>42</v>
      </c>
      <c r="AX601" t="s">
        <v>74</v>
      </c>
      <c r="AY601" t="s">
        <v>74</v>
      </c>
      <c r="AZ601" t="s">
        <v>74</v>
      </c>
      <c r="BA601" t="s">
        <v>74</v>
      </c>
      <c r="BB601">
        <v>8539</v>
      </c>
      <c r="BC601">
        <v>8542</v>
      </c>
      <c r="BD601" t="s">
        <v>8430</v>
      </c>
      <c r="BE601" t="s">
        <v>8431</v>
      </c>
      <c r="BF601" t="str">
        <f>HYPERLINK("http://dx.doi.org/10.1016/S0040-4020(02)01019-0","http://dx.doi.org/10.1016/S0040-4020(02)01019-0")</f>
        <v>http://dx.doi.org/10.1016/S0040-4020(02)01019-0</v>
      </c>
      <c r="BG601" t="s">
        <v>74</v>
      </c>
      <c r="BH601" t="s">
        <v>74</v>
      </c>
      <c r="BI601">
        <v>4</v>
      </c>
      <c r="BJ601" t="s">
        <v>8432</v>
      </c>
      <c r="BK601" t="s">
        <v>1174</v>
      </c>
      <c r="BL601" t="s">
        <v>863</v>
      </c>
      <c r="BM601" t="s">
        <v>8433</v>
      </c>
      <c r="BN601" t="s">
        <v>74</v>
      </c>
      <c r="BO601" t="s">
        <v>74</v>
      </c>
      <c r="BP601" t="s">
        <v>74</v>
      </c>
      <c r="BQ601" t="s">
        <v>74</v>
      </c>
      <c r="BR601" t="s">
        <v>98</v>
      </c>
      <c r="BS601" t="s">
        <v>8434</v>
      </c>
      <c r="BT601" t="str">
        <f>HYPERLINK("https%3A%2F%2Fwww.webofscience.com%2Fwos%2Fwoscc%2Ffull-record%2FWOS:000178624700019","View Full Record in Web of Science")</f>
        <v>View Full Record in Web of Science</v>
      </c>
    </row>
    <row r="602" spans="1:72" x14ac:dyDescent="0.15">
      <c r="A602" t="s">
        <v>552</v>
      </c>
      <c r="B602" t="s">
        <v>8435</v>
      </c>
      <c r="C602" t="s">
        <v>74</v>
      </c>
      <c r="D602" t="s">
        <v>74</v>
      </c>
      <c r="E602" t="s">
        <v>74</v>
      </c>
      <c r="F602" t="s">
        <v>8435</v>
      </c>
      <c r="G602" t="s">
        <v>74</v>
      </c>
      <c r="H602" t="s">
        <v>8436</v>
      </c>
      <c r="I602" t="s">
        <v>8437</v>
      </c>
      <c r="J602" t="s">
        <v>8438</v>
      </c>
      <c r="K602" t="s">
        <v>74</v>
      </c>
      <c r="L602" t="s">
        <v>74</v>
      </c>
      <c r="M602" t="s">
        <v>78</v>
      </c>
      <c r="N602" t="s">
        <v>775</v>
      </c>
      <c r="O602" t="s">
        <v>74</v>
      </c>
      <c r="P602" t="s">
        <v>74</v>
      </c>
      <c r="Q602" t="s">
        <v>74</v>
      </c>
      <c r="R602" t="s">
        <v>74</v>
      </c>
      <c r="S602" t="s">
        <v>74</v>
      </c>
      <c r="T602" t="s">
        <v>8439</v>
      </c>
      <c r="U602" t="s">
        <v>8440</v>
      </c>
      <c r="V602" t="s">
        <v>8441</v>
      </c>
      <c r="W602" t="s">
        <v>8442</v>
      </c>
      <c r="X602" t="s">
        <v>8443</v>
      </c>
      <c r="Y602" t="s">
        <v>8444</v>
      </c>
      <c r="Z602" t="s">
        <v>8445</v>
      </c>
      <c r="AA602" t="s">
        <v>8446</v>
      </c>
      <c r="AB602" t="s">
        <v>8447</v>
      </c>
      <c r="AC602" t="s">
        <v>74</v>
      </c>
      <c r="AD602" t="s">
        <v>74</v>
      </c>
      <c r="AE602" t="s">
        <v>74</v>
      </c>
      <c r="AF602" t="s">
        <v>74</v>
      </c>
      <c r="AG602">
        <v>42</v>
      </c>
      <c r="AH602">
        <v>4</v>
      </c>
      <c r="AI602">
        <v>4</v>
      </c>
      <c r="AJ602">
        <v>0</v>
      </c>
      <c r="AK602">
        <v>1</v>
      </c>
      <c r="AL602" t="s">
        <v>8448</v>
      </c>
      <c r="AM602" t="s">
        <v>8449</v>
      </c>
      <c r="AN602" t="s">
        <v>8450</v>
      </c>
      <c r="AO602" t="s">
        <v>8451</v>
      </c>
      <c r="AP602" t="s">
        <v>8452</v>
      </c>
      <c r="AQ602" t="s">
        <v>74</v>
      </c>
      <c r="AR602" t="s">
        <v>8453</v>
      </c>
      <c r="AS602" t="s">
        <v>8454</v>
      </c>
      <c r="AT602" t="s">
        <v>8455</v>
      </c>
      <c r="AU602">
        <v>2002</v>
      </c>
      <c r="AV602">
        <v>17</v>
      </c>
      <c r="AW602">
        <v>31</v>
      </c>
      <c r="AX602" t="s">
        <v>74</v>
      </c>
      <c r="AY602" t="s">
        <v>74</v>
      </c>
      <c r="AZ602" t="s">
        <v>74</v>
      </c>
      <c r="BA602" t="s">
        <v>74</v>
      </c>
      <c r="BB602">
        <v>2019</v>
      </c>
      <c r="BC602">
        <v>2037</v>
      </c>
      <c r="BD602" t="s">
        <v>74</v>
      </c>
      <c r="BE602" t="s">
        <v>8456</v>
      </c>
      <c r="BF602" t="str">
        <f>HYPERLINK("http://dx.doi.org/10.1142/S0217732302008575","http://dx.doi.org/10.1142/S0217732302008575")</f>
        <v>http://dx.doi.org/10.1142/S0217732302008575</v>
      </c>
      <c r="BG602" t="s">
        <v>74</v>
      </c>
      <c r="BH602" t="s">
        <v>74</v>
      </c>
      <c r="BI602">
        <v>19</v>
      </c>
      <c r="BJ602" t="s">
        <v>8457</v>
      </c>
      <c r="BK602" t="s">
        <v>569</v>
      </c>
      <c r="BL602" t="s">
        <v>8458</v>
      </c>
      <c r="BM602" t="s">
        <v>8459</v>
      </c>
      <c r="BN602" t="s">
        <v>74</v>
      </c>
      <c r="BO602" t="s">
        <v>74</v>
      </c>
      <c r="BP602" t="s">
        <v>74</v>
      </c>
      <c r="BQ602" t="s">
        <v>74</v>
      </c>
      <c r="BR602" t="s">
        <v>98</v>
      </c>
      <c r="BS602" t="s">
        <v>8460</v>
      </c>
      <c r="BT602" t="str">
        <f>HYPERLINK("https%3A%2F%2Fwww.webofscience.com%2Fwos%2Fwoscc%2Ffull-record%2FWOS:000179483000001","View Full Record in Web of Science")</f>
        <v>View Full Record in Web of Science</v>
      </c>
    </row>
    <row r="603" spans="1:72" x14ac:dyDescent="0.15">
      <c r="A603" t="s">
        <v>552</v>
      </c>
      <c r="B603" t="s">
        <v>3656</v>
      </c>
      <c r="C603" t="s">
        <v>74</v>
      </c>
      <c r="D603" t="s">
        <v>74</v>
      </c>
      <c r="E603" t="s">
        <v>74</v>
      </c>
      <c r="F603" t="s">
        <v>3656</v>
      </c>
      <c r="G603" t="s">
        <v>74</v>
      </c>
      <c r="H603" t="s">
        <v>74</v>
      </c>
      <c r="I603" t="s">
        <v>8461</v>
      </c>
      <c r="J603" t="s">
        <v>8462</v>
      </c>
      <c r="K603" t="s">
        <v>74</v>
      </c>
      <c r="L603" t="s">
        <v>74</v>
      </c>
      <c r="M603" t="s">
        <v>78</v>
      </c>
      <c r="N603" t="s">
        <v>775</v>
      </c>
      <c r="O603" t="s">
        <v>74</v>
      </c>
      <c r="P603" t="s">
        <v>74</v>
      </c>
      <c r="Q603" t="s">
        <v>74</v>
      </c>
      <c r="R603" t="s">
        <v>74</v>
      </c>
      <c r="S603" t="s">
        <v>74</v>
      </c>
      <c r="T603" t="s">
        <v>8463</v>
      </c>
      <c r="U603" t="s">
        <v>8464</v>
      </c>
      <c r="V603" t="s">
        <v>8465</v>
      </c>
      <c r="W603" t="s">
        <v>238</v>
      </c>
      <c r="X603" t="s">
        <v>239</v>
      </c>
      <c r="Y603" t="s">
        <v>6144</v>
      </c>
      <c r="Z603" t="s">
        <v>3283</v>
      </c>
      <c r="AA603" t="s">
        <v>74</v>
      </c>
      <c r="AB603" t="s">
        <v>74</v>
      </c>
      <c r="AC603" t="s">
        <v>74</v>
      </c>
      <c r="AD603" t="s">
        <v>74</v>
      </c>
      <c r="AE603" t="s">
        <v>74</v>
      </c>
      <c r="AF603" t="s">
        <v>74</v>
      </c>
      <c r="AG603">
        <v>44</v>
      </c>
      <c r="AH603">
        <v>43</v>
      </c>
      <c r="AI603">
        <v>48</v>
      </c>
      <c r="AJ603">
        <v>0</v>
      </c>
      <c r="AK603">
        <v>20</v>
      </c>
      <c r="AL603" t="s">
        <v>8466</v>
      </c>
      <c r="AM603" t="s">
        <v>2113</v>
      </c>
      <c r="AN603" t="s">
        <v>8467</v>
      </c>
      <c r="AO603" t="s">
        <v>8468</v>
      </c>
      <c r="AP603" t="s">
        <v>74</v>
      </c>
      <c r="AQ603" t="s">
        <v>74</v>
      </c>
      <c r="AR603" t="s">
        <v>8469</v>
      </c>
      <c r="AS603" t="s">
        <v>8470</v>
      </c>
      <c r="AT603" t="s">
        <v>8471</v>
      </c>
      <c r="AU603">
        <v>2002</v>
      </c>
      <c r="AV603">
        <v>269</v>
      </c>
      <c r="AW603">
        <v>1504</v>
      </c>
      <c r="AX603" t="s">
        <v>74</v>
      </c>
      <c r="AY603" t="s">
        <v>74</v>
      </c>
      <c r="AZ603" t="s">
        <v>74</v>
      </c>
      <c r="BA603" t="s">
        <v>74</v>
      </c>
      <c r="BB603">
        <v>2061</v>
      </c>
      <c r="BC603">
        <v>2069</v>
      </c>
      <c r="BD603" t="s">
        <v>74</v>
      </c>
      <c r="BE603" t="s">
        <v>8472</v>
      </c>
      <c r="BF603" t="str">
        <f>HYPERLINK("http://dx.doi.org/10.1098/rspb.2002.2105","http://dx.doi.org/10.1098/rspb.2002.2105")</f>
        <v>http://dx.doi.org/10.1098/rspb.2002.2105</v>
      </c>
      <c r="BG603" t="s">
        <v>74</v>
      </c>
      <c r="BH603" t="s">
        <v>74</v>
      </c>
      <c r="BI603">
        <v>9</v>
      </c>
      <c r="BJ603" t="s">
        <v>8473</v>
      </c>
      <c r="BK603" t="s">
        <v>569</v>
      </c>
      <c r="BL603" t="s">
        <v>8474</v>
      </c>
      <c r="BM603" t="s">
        <v>8475</v>
      </c>
      <c r="BN603">
        <v>12396506</v>
      </c>
      <c r="BO603" t="s">
        <v>794</v>
      </c>
      <c r="BP603" t="s">
        <v>74</v>
      </c>
      <c r="BQ603" t="s">
        <v>74</v>
      </c>
      <c r="BR603" t="s">
        <v>98</v>
      </c>
      <c r="BS603" t="s">
        <v>8476</v>
      </c>
      <c r="BT603" t="str">
        <f>HYPERLINK("https%3A%2F%2Fwww.webofscience.com%2Fwos%2Fwoscc%2Ffull-record%2FWOS:000178593600013","View Full Record in Web of Science")</f>
        <v>View Full Record in Web of Science</v>
      </c>
    </row>
    <row r="604" spans="1:72" x14ac:dyDescent="0.15">
      <c r="A604" t="s">
        <v>552</v>
      </c>
      <c r="B604" t="s">
        <v>8477</v>
      </c>
      <c r="C604" t="s">
        <v>74</v>
      </c>
      <c r="D604" t="s">
        <v>74</v>
      </c>
      <c r="E604" t="s">
        <v>74</v>
      </c>
      <c r="F604" t="s">
        <v>8477</v>
      </c>
      <c r="G604" t="s">
        <v>74</v>
      </c>
      <c r="H604" t="s">
        <v>74</v>
      </c>
      <c r="I604" t="s">
        <v>8478</v>
      </c>
      <c r="J604" t="s">
        <v>8479</v>
      </c>
      <c r="K604" t="s">
        <v>74</v>
      </c>
      <c r="L604" t="s">
        <v>74</v>
      </c>
      <c r="M604" t="s">
        <v>78</v>
      </c>
      <c r="N604" t="s">
        <v>576</v>
      </c>
      <c r="O604" t="s">
        <v>8480</v>
      </c>
      <c r="P604">
        <v>2000</v>
      </c>
      <c r="Q604" t="s">
        <v>8481</v>
      </c>
      <c r="R604" t="s">
        <v>74</v>
      </c>
      <c r="S604" t="s">
        <v>74</v>
      </c>
      <c r="T604" t="s">
        <v>8482</v>
      </c>
      <c r="U604" t="s">
        <v>8483</v>
      </c>
      <c r="V604" t="s">
        <v>8484</v>
      </c>
      <c r="W604" t="s">
        <v>8485</v>
      </c>
      <c r="X604" t="s">
        <v>8486</v>
      </c>
      <c r="Y604" t="s">
        <v>8487</v>
      </c>
      <c r="Z604" t="s">
        <v>8488</v>
      </c>
      <c r="AA604" t="s">
        <v>74</v>
      </c>
      <c r="AB604" t="s">
        <v>74</v>
      </c>
      <c r="AC604" t="s">
        <v>74</v>
      </c>
      <c r="AD604" t="s">
        <v>74</v>
      </c>
      <c r="AE604" t="s">
        <v>74</v>
      </c>
      <c r="AF604" t="s">
        <v>74</v>
      </c>
      <c r="AG604">
        <v>19</v>
      </c>
      <c r="AH604">
        <v>34</v>
      </c>
      <c r="AI604">
        <v>41</v>
      </c>
      <c r="AJ604">
        <v>0</v>
      </c>
      <c r="AK604">
        <v>2</v>
      </c>
      <c r="AL604" t="s">
        <v>1860</v>
      </c>
      <c r="AM604" t="s">
        <v>1861</v>
      </c>
      <c r="AN604" t="s">
        <v>1862</v>
      </c>
      <c r="AO604" t="s">
        <v>8489</v>
      </c>
      <c r="AP604" t="s">
        <v>8490</v>
      </c>
      <c r="AQ604" t="s">
        <v>74</v>
      </c>
      <c r="AR604" t="s">
        <v>8479</v>
      </c>
      <c r="AS604" t="s">
        <v>8491</v>
      </c>
      <c r="AT604" t="s">
        <v>8471</v>
      </c>
      <c r="AU604">
        <v>2002</v>
      </c>
      <c r="AV604">
        <v>356</v>
      </c>
      <c r="AW604" t="s">
        <v>5705</v>
      </c>
      <c r="AX604" t="s">
        <v>74</v>
      </c>
      <c r="AY604" t="s">
        <v>74</v>
      </c>
      <c r="AZ604" t="s">
        <v>74</v>
      </c>
      <c r="BA604" t="s">
        <v>74</v>
      </c>
      <c r="BB604">
        <v>115</v>
      </c>
      <c r="BC604">
        <v>124</v>
      </c>
      <c r="BD604" t="s">
        <v>8492</v>
      </c>
      <c r="BE604" t="s">
        <v>8493</v>
      </c>
      <c r="BF604" t="str">
        <f>HYPERLINK("http://dx.doi.org/10.1016/S0040-1951(02)00379-7","http://dx.doi.org/10.1016/S0040-1951(02)00379-7")</f>
        <v>http://dx.doi.org/10.1016/S0040-1951(02)00379-7</v>
      </c>
      <c r="BG604" t="s">
        <v>74</v>
      </c>
      <c r="BH604" t="s">
        <v>74</v>
      </c>
      <c r="BI604">
        <v>10</v>
      </c>
      <c r="BJ604" t="s">
        <v>2068</v>
      </c>
      <c r="BK604" t="s">
        <v>605</v>
      </c>
      <c r="BL604" t="s">
        <v>2068</v>
      </c>
      <c r="BM604" t="s">
        <v>8494</v>
      </c>
      <c r="BN604" t="s">
        <v>74</v>
      </c>
      <c r="BO604" t="s">
        <v>74</v>
      </c>
      <c r="BP604" t="s">
        <v>74</v>
      </c>
      <c r="BQ604" t="s">
        <v>74</v>
      </c>
      <c r="BR604" t="s">
        <v>98</v>
      </c>
      <c r="BS604" t="s">
        <v>8495</v>
      </c>
      <c r="BT604" t="str">
        <f>HYPERLINK("https%3A%2F%2Fwww.webofscience.com%2Fwos%2Fwoscc%2Ffull-record%2FWOS:000178584500007","View Full Record in Web of Science")</f>
        <v>View Full Record in Web of Science</v>
      </c>
    </row>
    <row r="605" spans="1:72" x14ac:dyDescent="0.15">
      <c r="A605" t="s">
        <v>552</v>
      </c>
      <c r="B605" t="s">
        <v>8496</v>
      </c>
      <c r="C605" t="s">
        <v>74</v>
      </c>
      <c r="D605" t="s">
        <v>74</v>
      </c>
      <c r="E605" t="s">
        <v>74</v>
      </c>
      <c r="F605" t="s">
        <v>8496</v>
      </c>
      <c r="G605" t="s">
        <v>74</v>
      </c>
      <c r="H605" t="s">
        <v>74</v>
      </c>
      <c r="I605" t="s">
        <v>8497</v>
      </c>
      <c r="J605" t="s">
        <v>8498</v>
      </c>
      <c r="K605" t="s">
        <v>74</v>
      </c>
      <c r="L605" t="s">
        <v>74</v>
      </c>
      <c r="M605" t="s">
        <v>78</v>
      </c>
      <c r="N605" t="s">
        <v>775</v>
      </c>
      <c r="O605" t="s">
        <v>74</v>
      </c>
      <c r="P605" t="s">
        <v>74</v>
      </c>
      <c r="Q605" t="s">
        <v>74</v>
      </c>
      <c r="R605" t="s">
        <v>74</v>
      </c>
      <c r="S605" t="s">
        <v>74</v>
      </c>
      <c r="T605" t="s">
        <v>8499</v>
      </c>
      <c r="U605" t="s">
        <v>8500</v>
      </c>
      <c r="V605" t="s">
        <v>8501</v>
      </c>
      <c r="W605" t="s">
        <v>8502</v>
      </c>
      <c r="X605" t="s">
        <v>6835</v>
      </c>
      <c r="Y605" t="s">
        <v>8503</v>
      </c>
      <c r="Z605" t="s">
        <v>74</v>
      </c>
      <c r="AA605" t="s">
        <v>74</v>
      </c>
      <c r="AB605" t="s">
        <v>74</v>
      </c>
      <c r="AC605" t="s">
        <v>74</v>
      </c>
      <c r="AD605" t="s">
        <v>74</v>
      </c>
      <c r="AE605" t="s">
        <v>74</v>
      </c>
      <c r="AF605" t="s">
        <v>74</v>
      </c>
      <c r="AG605">
        <v>24</v>
      </c>
      <c r="AH605">
        <v>20</v>
      </c>
      <c r="AI605">
        <v>24</v>
      </c>
      <c r="AJ605">
        <v>0</v>
      </c>
      <c r="AK605">
        <v>9</v>
      </c>
      <c r="AL605" t="s">
        <v>1860</v>
      </c>
      <c r="AM605" t="s">
        <v>1861</v>
      </c>
      <c r="AN605" t="s">
        <v>1862</v>
      </c>
      <c r="AO605" t="s">
        <v>8504</v>
      </c>
      <c r="AP605" t="s">
        <v>74</v>
      </c>
      <c r="AQ605" t="s">
        <v>74</v>
      </c>
      <c r="AR605" t="s">
        <v>8505</v>
      </c>
      <c r="AS605" t="s">
        <v>8506</v>
      </c>
      <c r="AT605" t="s">
        <v>8507</v>
      </c>
      <c r="AU605">
        <v>2002</v>
      </c>
      <c r="AV605">
        <v>469</v>
      </c>
      <c r="AW605">
        <v>2</v>
      </c>
      <c r="AX605" t="s">
        <v>74</v>
      </c>
      <c r="AY605" t="s">
        <v>74</v>
      </c>
      <c r="AZ605" t="s">
        <v>74</v>
      </c>
      <c r="BA605" t="s">
        <v>74</v>
      </c>
      <c r="BB605">
        <v>225</v>
      </c>
      <c r="BC605">
        <v>233</v>
      </c>
      <c r="BD605" t="s">
        <v>8508</v>
      </c>
      <c r="BE605" t="s">
        <v>8509</v>
      </c>
      <c r="BF605" t="str">
        <f>HYPERLINK("http://dx.doi.org/10.1016/S0003-2670(02)00720-1","http://dx.doi.org/10.1016/S0003-2670(02)00720-1")</f>
        <v>http://dx.doi.org/10.1016/S0003-2670(02)00720-1</v>
      </c>
      <c r="BG605" t="s">
        <v>74</v>
      </c>
      <c r="BH605" t="s">
        <v>74</v>
      </c>
      <c r="BI605">
        <v>9</v>
      </c>
      <c r="BJ605" t="s">
        <v>8510</v>
      </c>
      <c r="BK605" t="s">
        <v>569</v>
      </c>
      <c r="BL605" t="s">
        <v>863</v>
      </c>
      <c r="BM605" t="s">
        <v>8511</v>
      </c>
      <c r="BN605" t="s">
        <v>74</v>
      </c>
      <c r="BO605" t="s">
        <v>74</v>
      </c>
      <c r="BP605" t="s">
        <v>74</v>
      </c>
      <c r="BQ605" t="s">
        <v>74</v>
      </c>
      <c r="BR605" t="s">
        <v>98</v>
      </c>
      <c r="BS605" t="s">
        <v>8512</v>
      </c>
      <c r="BT605" t="str">
        <f>HYPERLINK("https%3A%2F%2Fwww.webofscience.com%2Fwos%2Fwoscc%2Ffull-record%2FWOS:000178255500009","View Full Record in Web of Science")</f>
        <v>View Full Record in Web of Science</v>
      </c>
    </row>
    <row r="606" spans="1:72" x14ac:dyDescent="0.15">
      <c r="A606" t="s">
        <v>552</v>
      </c>
      <c r="B606" t="s">
        <v>8513</v>
      </c>
      <c r="C606" t="s">
        <v>74</v>
      </c>
      <c r="D606" t="s">
        <v>74</v>
      </c>
      <c r="E606" t="s">
        <v>74</v>
      </c>
      <c r="F606" t="s">
        <v>8513</v>
      </c>
      <c r="G606" t="s">
        <v>74</v>
      </c>
      <c r="H606" t="s">
        <v>74</v>
      </c>
      <c r="I606" t="s">
        <v>8514</v>
      </c>
      <c r="J606" t="s">
        <v>8515</v>
      </c>
      <c r="K606" t="s">
        <v>74</v>
      </c>
      <c r="L606" t="s">
        <v>74</v>
      </c>
      <c r="M606" t="s">
        <v>78</v>
      </c>
      <c r="N606" t="s">
        <v>775</v>
      </c>
      <c r="O606" t="s">
        <v>74</v>
      </c>
      <c r="P606" t="s">
        <v>74</v>
      </c>
      <c r="Q606" t="s">
        <v>74</v>
      </c>
      <c r="R606" t="s">
        <v>74</v>
      </c>
      <c r="S606" t="s">
        <v>74</v>
      </c>
      <c r="T606" t="s">
        <v>74</v>
      </c>
      <c r="U606" t="s">
        <v>8516</v>
      </c>
      <c r="V606" t="s">
        <v>8517</v>
      </c>
      <c r="W606" t="s">
        <v>8518</v>
      </c>
      <c r="X606" t="s">
        <v>8519</v>
      </c>
      <c r="Y606" t="s">
        <v>8520</v>
      </c>
      <c r="Z606" t="s">
        <v>74</v>
      </c>
      <c r="AA606" t="s">
        <v>8521</v>
      </c>
      <c r="AB606" t="s">
        <v>8522</v>
      </c>
      <c r="AC606" t="s">
        <v>74</v>
      </c>
      <c r="AD606" t="s">
        <v>74</v>
      </c>
      <c r="AE606" t="s">
        <v>74</v>
      </c>
      <c r="AF606" t="s">
        <v>74</v>
      </c>
      <c r="AG606">
        <v>29</v>
      </c>
      <c r="AH606">
        <v>118</v>
      </c>
      <c r="AI606">
        <v>131</v>
      </c>
      <c r="AJ606">
        <v>1</v>
      </c>
      <c r="AK606">
        <v>22</v>
      </c>
      <c r="AL606" t="s">
        <v>3815</v>
      </c>
      <c r="AM606" t="s">
        <v>2113</v>
      </c>
      <c r="AN606" t="s">
        <v>3816</v>
      </c>
      <c r="AO606" t="s">
        <v>8523</v>
      </c>
      <c r="AP606" t="s">
        <v>74</v>
      </c>
      <c r="AQ606" t="s">
        <v>74</v>
      </c>
      <c r="AR606" t="s">
        <v>8515</v>
      </c>
      <c r="AS606" t="s">
        <v>8524</v>
      </c>
      <c r="AT606" t="s">
        <v>8507</v>
      </c>
      <c r="AU606">
        <v>2002</v>
      </c>
      <c r="AV606">
        <v>419</v>
      </c>
      <c r="AW606">
        <v>6906</v>
      </c>
      <c r="AX606" t="s">
        <v>74</v>
      </c>
      <c r="AY606" t="s">
        <v>74</v>
      </c>
      <c r="AZ606" t="s">
        <v>74</v>
      </c>
      <c r="BA606" t="s">
        <v>74</v>
      </c>
      <c r="BB606">
        <v>465</v>
      </c>
      <c r="BC606">
        <v>467</v>
      </c>
      <c r="BD606" t="s">
        <v>74</v>
      </c>
      <c r="BE606" t="s">
        <v>8525</v>
      </c>
      <c r="BF606" t="str">
        <f>HYPERLINK("http://dx.doi.org/10.1038/nature01081","http://dx.doi.org/10.1038/nature01081")</f>
        <v>http://dx.doi.org/10.1038/nature01081</v>
      </c>
      <c r="BG606" t="s">
        <v>74</v>
      </c>
      <c r="BH606" t="s">
        <v>74</v>
      </c>
      <c r="BI606">
        <v>3</v>
      </c>
      <c r="BJ606" t="s">
        <v>5596</v>
      </c>
      <c r="BK606" t="s">
        <v>569</v>
      </c>
      <c r="BL606" t="s">
        <v>5597</v>
      </c>
      <c r="BM606" t="s">
        <v>8526</v>
      </c>
      <c r="BN606">
        <v>12368852</v>
      </c>
      <c r="BO606" t="s">
        <v>74</v>
      </c>
      <c r="BP606" t="s">
        <v>74</v>
      </c>
      <c r="BQ606" t="s">
        <v>74</v>
      </c>
      <c r="BR606" t="s">
        <v>98</v>
      </c>
      <c r="BS606" t="s">
        <v>8527</v>
      </c>
      <c r="BT606" t="str">
        <f>HYPERLINK("https%3A%2F%2Fwww.webofscience.com%2Fwos%2Fwoscc%2Ffull-record%2FWOS:000178348400033","View Full Record in Web of Science")</f>
        <v>View Full Record in Web of Science</v>
      </c>
    </row>
    <row r="607" spans="1:72" x14ac:dyDescent="0.15">
      <c r="A607" t="s">
        <v>552</v>
      </c>
      <c r="B607" t="s">
        <v>8528</v>
      </c>
      <c r="C607" t="s">
        <v>74</v>
      </c>
      <c r="D607" t="s">
        <v>74</v>
      </c>
      <c r="E607" t="s">
        <v>74</v>
      </c>
      <c r="F607" t="s">
        <v>8528</v>
      </c>
      <c r="G607" t="s">
        <v>74</v>
      </c>
      <c r="H607" t="s">
        <v>74</v>
      </c>
      <c r="I607" t="s">
        <v>8529</v>
      </c>
      <c r="J607" t="s">
        <v>8288</v>
      </c>
      <c r="K607" t="s">
        <v>74</v>
      </c>
      <c r="L607" t="s">
        <v>74</v>
      </c>
      <c r="M607" t="s">
        <v>78</v>
      </c>
      <c r="N607" t="s">
        <v>775</v>
      </c>
      <c r="O607" t="s">
        <v>74</v>
      </c>
      <c r="P607" t="s">
        <v>74</v>
      </c>
      <c r="Q607" t="s">
        <v>74</v>
      </c>
      <c r="R607" t="s">
        <v>74</v>
      </c>
      <c r="S607" t="s">
        <v>74</v>
      </c>
      <c r="T607" t="s">
        <v>8530</v>
      </c>
      <c r="U607" t="s">
        <v>8531</v>
      </c>
      <c r="V607" t="s">
        <v>8532</v>
      </c>
      <c r="W607" t="s">
        <v>8533</v>
      </c>
      <c r="X607" t="s">
        <v>8534</v>
      </c>
      <c r="Y607" t="s">
        <v>8535</v>
      </c>
      <c r="Z607" t="s">
        <v>74</v>
      </c>
      <c r="AA607" t="s">
        <v>74</v>
      </c>
      <c r="AB607" t="s">
        <v>74</v>
      </c>
      <c r="AC607" t="s">
        <v>74</v>
      </c>
      <c r="AD607" t="s">
        <v>74</v>
      </c>
      <c r="AE607" t="s">
        <v>74</v>
      </c>
      <c r="AF607" t="s">
        <v>74</v>
      </c>
      <c r="AG607">
        <v>28</v>
      </c>
      <c r="AH607">
        <v>18</v>
      </c>
      <c r="AI607">
        <v>23</v>
      </c>
      <c r="AJ607">
        <v>0</v>
      </c>
      <c r="AK607">
        <v>26</v>
      </c>
      <c r="AL607" t="s">
        <v>1860</v>
      </c>
      <c r="AM607" t="s">
        <v>1861</v>
      </c>
      <c r="AN607" t="s">
        <v>1862</v>
      </c>
      <c r="AO607" t="s">
        <v>8296</v>
      </c>
      <c r="AP607" t="s">
        <v>74</v>
      </c>
      <c r="AQ607" t="s">
        <v>74</v>
      </c>
      <c r="AR607" t="s">
        <v>8297</v>
      </c>
      <c r="AS607" t="s">
        <v>8298</v>
      </c>
      <c r="AT607" t="s">
        <v>8536</v>
      </c>
      <c r="AU607">
        <v>2002</v>
      </c>
      <c r="AV607">
        <v>277</v>
      </c>
      <c r="AW607">
        <v>2</v>
      </c>
      <c r="AX607" t="s">
        <v>74</v>
      </c>
      <c r="AY607" t="s">
        <v>74</v>
      </c>
      <c r="AZ607" t="s">
        <v>74</v>
      </c>
      <c r="BA607" t="s">
        <v>74</v>
      </c>
      <c r="BB607">
        <v>157</v>
      </c>
      <c r="BC607">
        <v>171</v>
      </c>
      <c r="BD607" t="s">
        <v>8537</v>
      </c>
      <c r="BE607" t="s">
        <v>8538</v>
      </c>
      <c r="BF607" t="str">
        <f>HYPERLINK("http://dx.doi.org/10.1016/S0022-0981(02)00328-3","http://dx.doi.org/10.1016/S0022-0981(02)00328-3")</f>
        <v>http://dx.doi.org/10.1016/S0022-0981(02)00328-3</v>
      </c>
      <c r="BG607" t="s">
        <v>74</v>
      </c>
      <c r="BH607" t="s">
        <v>74</v>
      </c>
      <c r="BI607">
        <v>15</v>
      </c>
      <c r="BJ607" t="s">
        <v>7493</v>
      </c>
      <c r="BK607" t="s">
        <v>569</v>
      </c>
      <c r="BL607" t="s">
        <v>7494</v>
      </c>
      <c r="BM607" t="s">
        <v>8539</v>
      </c>
      <c r="BN607" t="s">
        <v>74</v>
      </c>
      <c r="BO607" t="s">
        <v>74</v>
      </c>
      <c r="BP607" t="s">
        <v>74</v>
      </c>
      <c r="BQ607" t="s">
        <v>74</v>
      </c>
      <c r="BR607" t="s">
        <v>98</v>
      </c>
      <c r="BS607" t="s">
        <v>8540</v>
      </c>
      <c r="BT607" t="str">
        <f>HYPERLINK("https%3A%2F%2Fwww.webofscience.com%2Fwos%2Fwoscc%2Ffull-record%2FWOS:000178277000004","View Full Record in Web of Science")</f>
        <v>View Full Record in Web of Science</v>
      </c>
    </row>
    <row r="608" spans="1:72" x14ac:dyDescent="0.15">
      <c r="A608" t="s">
        <v>552</v>
      </c>
      <c r="B608" t="s">
        <v>8541</v>
      </c>
      <c r="C608" t="s">
        <v>74</v>
      </c>
      <c r="D608" t="s">
        <v>74</v>
      </c>
      <c r="E608" t="s">
        <v>74</v>
      </c>
      <c r="F608" t="s">
        <v>8541</v>
      </c>
      <c r="G608" t="s">
        <v>74</v>
      </c>
      <c r="H608" t="s">
        <v>74</v>
      </c>
      <c r="I608" t="s">
        <v>8542</v>
      </c>
      <c r="J608" t="s">
        <v>5806</v>
      </c>
      <c r="K608" t="s">
        <v>74</v>
      </c>
      <c r="L608" t="s">
        <v>74</v>
      </c>
      <c r="M608" t="s">
        <v>78</v>
      </c>
      <c r="N608" t="s">
        <v>775</v>
      </c>
      <c r="O608" t="s">
        <v>74</v>
      </c>
      <c r="P608" t="s">
        <v>74</v>
      </c>
      <c r="Q608" t="s">
        <v>74</v>
      </c>
      <c r="R608" t="s">
        <v>74</v>
      </c>
      <c r="S608" t="s">
        <v>74</v>
      </c>
      <c r="T608" t="s">
        <v>8543</v>
      </c>
      <c r="U608" t="s">
        <v>8544</v>
      </c>
      <c r="V608" t="s">
        <v>8545</v>
      </c>
      <c r="W608" t="s">
        <v>8546</v>
      </c>
      <c r="X608" t="s">
        <v>8547</v>
      </c>
      <c r="Y608" t="s">
        <v>8548</v>
      </c>
      <c r="Z608" t="s">
        <v>74</v>
      </c>
      <c r="AA608" t="s">
        <v>8549</v>
      </c>
      <c r="AB608" t="s">
        <v>8550</v>
      </c>
      <c r="AC608" t="s">
        <v>74</v>
      </c>
      <c r="AD608" t="s">
        <v>74</v>
      </c>
      <c r="AE608" t="s">
        <v>74</v>
      </c>
      <c r="AF608" t="s">
        <v>74</v>
      </c>
      <c r="AG608">
        <v>39</v>
      </c>
      <c r="AH608">
        <v>22</v>
      </c>
      <c r="AI608">
        <v>23</v>
      </c>
      <c r="AJ608">
        <v>0</v>
      </c>
      <c r="AK608">
        <v>2</v>
      </c>
      <c r="AL608" t="s">
        <v>5813</v>
      </c>
      <c r="AM608" t="s">
        <v>5814</v>
      </c>
      <c r="AN608" t="s">
        <v>5815</v>
      </c>
      <c r="AO608" t="s">
        <v>5816</v>
      </c>
      <c r="AP608" t="s">
        <v>74</v>
      </c>
      <c r="AQ608" t="s">
        <v>74</v>
      </c>
      <c r="AR608" t="s">
        <v>5817</v>
      </c>
      <c r="AS608" t="s">
        <v>5818</v>
      </c>
      <c r="AT608" t="s">
        <v>8551</v>
      </c>
      <c r="AU608">
        <v>2002</v>
      </c>
      <c r="AV608">
        <v>20</v>
      </c>
      <c r="AW608">
        <v>10</v>
      </c>
      <c r="AX608" t="s">
        <v>74</v>
      </c>
      <c r="AY608" t="s">
        <v>74</v>
      </c>
      <c r="AZ608" t="s">
        <v>74</v>
      </c>
      <c r="BA608" t="s">
        <v>74</v>
      </c>
      <c r="BB608">
        <v>1539</v>
      </c>
      <c r="BC608">
        <v>1551</v>
      </c>
      <c r="BD608" t="s">
        <v>74</v>
      </c>
      <c r="BE608" t="s">
        <v>8552</v>
      </c>
      <c r="BF608" t="str">
        <f>HYPERLINK("http://dx.doi.org/10.5194/angeo-20-1539-2002","http://dx.doi.org/10.5194/angeo-20-1539-2002")</f>
        <v>http://dx.doi.org/10.5194/angeo-20-1539-2002</v>
      </c>
      <c r="BG608" t="s">
        <v>74</v>
      </c>
      <c r="BH608" t="s">
        <v>74</v>
      </c>
      <c r="BI608">
        <v>13</v>
      </c>
      <c r="BJ608" t="s">
        <v>5820</v>
      </c>
      <c r="BK608" t="s">
        <v>569</v>
      </c>
      <c r="BL608" t="s">
        <v>5821</v>
      </c>
      <c r="BM608" t="s">
        <v>8553</v>
      </c>
      <c r="BN608" t="s">
        <v>74</v>
      </c>
      <c r="BO608" t="s">
        <v>5823</v>
      </c>
      <c r="BP608" t="s">
        <v>74</v>
      </c>
      <c r="BQ608" t="s">
        <v>74</v>
      </c>
      <c r="BR608" t="s">
        <v>98</v>
      </c>
      <c r="BS608" t="s">
        <v>8554</v>
      </c>
      <c r="BT608" t="str">
        <f>HYPERLINK("https%3A%2F%2Fwww.webofscience.com%2Fwos%2Fwoscc%2Ffull-record%2FWOS:000179848000004","View Full Record in Web of Science")</f>
        <v>View Full Record in Web of Science</v>
      </c>
    </row>
    <row r="609" spans="1:72" x14ac:dyDescent="0.15">
      <c r="A609" t="s">
        <v>552</v>
      </c>
      <c r="B609" t="s">
        <v>8555</v>
      </c>
      <c r="C609" t="s">
        <v>74</v>
      </c>
      <c r="D609" t="s">
        <v>74</v>
      </c>
      <c r="E609" t="s">
        <v>74</v>
      </c>
      <c r="F609" t="s">
        <v>8555</v>
      </c>
      <c r="G609" t="s">
        <v>74</v>
      </c>
      <c r="H609" t="s">
        <v>74</v>
      </c>
      <c r="I609" t="s">
        <v>8556</v>
      </c>
      <c r="J609" t="s">
        <v>5806</v>
      </c>
      <c r="K609" t="s">
        <v>74</v>
      </c>
      <c r="L609" t="s">
        <v>74</v>
      </c>
      <c r="M609" t="s">
        <v>78</v>
      </c>
      <c r="N609" t="s">
        <v>775</v>
      </c>
      <c r="O609" t="s">
        <v>74</v>
      </c>
      <c r="P609" t="s">
        <v>74</v>
      </c>
      <c r="Q609" t="s">
        <v>74</v>
      </c>
      <c r="R609" t="s">
        <v>74</v>
      </c>
      <c r="S609" t="s">
        <v>74</v>
      </c>
      <c r="T609" t="s">
        <v>8557</v>
      </c>
      <c r="U609" t="s">
        <v>8558</v>
      </c>
      <c r="V609" t="s">
        <v>8559</v>
      </c>
      <c r="W609" t="s">
        <v>8560</v>
      </c>
      <c r="X609" t="s">
        <v>8561</v>
      </c>
      <c r="Y609" t="s">
        <v>8562</v>
      </c>
      <c r="Z609" t="s">
        <v>8563</v>
      </c>
      <c r="AA609" t="s">
        <v>8564</v>
      </c>
      <c r="AB609" t="s">
        <v>8565</v>
      </c>
      <c r="AC609" t="s">
        <v>74</v>
      </c>
      <c r="AD609" t="s">
        <v>74</v>
      </c>
      <c r="AE609" t="s">
        <v>74</v>
      </c>
      <c r="AF609" t="s">
        <v>74</v>
      </c>
      <c r="AG609">
        <v>59</v>
      </c>
      <c r="AH609">
        <v>12</v>
      </c>
      <c r="AI609">
        <v>12</v>
      </c>
      <c r="AJ609">
        <v>0</v>
      </c>
      <c r="AK609">
        <v>4</v>
      </c>
      <c r="AL609" t="s">
        <v>8566</v>
      </c>
      <c r="AM609" t="s">
        <v>8567</v>
      </c>
      <c r="AN609" t="s">
        <v>8568</v>
      </c>
      <c r="AO609" t="s">
        <v>5816</v>
      </c>
      <c r="AP609" t="s">
        <v>8569</v>
      </c>
      <c r="AQ609" t="s">
        <v>74</v>
      </c>
      <c r="AR609" t="s">
        <v>5817</v>
      </c>
      <c r="AS609" t="s">
        <v>5818</v>
      </c>
      <c r="AT609" t="s">
        <v>8551</v>
      </c>
      <c r="AU609">
        <v>2002</v>
      </c>
      <c r="AV609">
        <v>20</v>
      </c>
      <c r="AW609">
        <v>10</v>
      </c>
      <c r="AX609" t="s">
        <v>74</v>
      </c>
      <c r="AY609" t="s">
        <v>74</v>
      </c>
      <c r="AZ609" t="s">
        <v>74</v>
      </c>
      <c r="BA609" t="s">
        <v>74</v>
      </c>
      <c r="BB609">
        <v>1617</v>
      </c>
      <c r="BC609">
        <v>1630</v>
      </c>
      <c r="BD609" t="s">
        <v>74</v>
      </c>
      <c r="BE609" t="s">
        <v>8570</v>
      </c>
      <c r="BF609" t="str">
        <f>HYPERLINK("http://dx.doi.org/10.5194/angeo-20-1617-2002","http://dx.doi.org/10.5194/angeo-20-1617-2002")</f>
        <v>http://dx.doi.org/10.5194/angeo-20-1617-2002</v>
      </c>
      <c r="BG609" t="s">
        <v>74</v>
      </c>
      <c r="BH609" t="s">
        <v>74</v>
      </c>
      <c r="BI609">
        <v>14</v>
      </c>
      <c r="BJ609" t="s">
        <v>5820</v>
      </c>
      <c r="BK609" t="s">
        <v>569</v>
      </c>
      <c r="BL609" t="s">
        <v>5821</v>
      </c>
      <c r="BM609" t="s">
        <v>8553</v>
      </c>
      <c r="BN609" t="s">
        <v>74</v>
      </c>
      <c r="BO609" t="s">
        <v>5823</v>
      </c>
      <c r="BP609" t="s">
        <v>74</v>
      </c>
      <c r="BQ609" t="s">
        <v>74</v>
      </c>
      <c r="BR609" t="s">
        <v>98</v>
      </c>
      <c r="BS609" t="s">
        <v>8571</v>
      </c>
      <c r="BT609" t="str">
        <f>HYPERLINK("https%3A%2F%2Fwww.webofscience.com%2Fwos%2Fwoscc%2Ffull-record%2FWOS:000179848000009","View Full Record in Web of Science")</f>
        <v>View Full Record in Web of Science</v>
      </c>
    </row>
    <row r="610" spans="1:72" x14ac:dyDescent="0.15">
      <c r="A610" t="s">
        <v>552</v>
      </c>
      <c r="B610" t="s">
        <v>8572</v>
      </c>
      <c r="C610" t="s">
        <v>74</v>
      </c>
      <c r="D610" t="s">
        <v>74</v>
      </c>
      <c r="E610" t="s">
        <v>74</v>
      </c>
      <c r="F610" t="s">
        <v>8572</v>
      </c>
      <c r="G610" t="s">
        <v>74</v>
      </c>
      <c r="H610" t="s">
        <v>74</v>
      </c>
      <c r="I610" t="s">
        <v>8573</v>
      </c>
      <c r="J610" t="s">
        <v>8574</v>
      </c>
      <c r="K610" t="s">
        <v>74</v>
      </c>
      <c r="L610" t="s">
        <v>74</v>
      </c>
      <c r="M610" t="s">
        <v>78</v>
      </c>
      <c r="N610" t="s">
        <v>576</v>
      </c>
      <c r="O610" t="s">
        <v>8575</v>
      </c>
      <c r="P610" t="s">
        <v>8576</v>
      </c>
      <c r="Q610" t="s">
        <v>8577</v>
      </c>
      <c r="R610" t="s">
        <v>74</v>
      </c>
      <c r="S610" t="s">
        <v>74</v>
      </c>
      <c r="T610" t="s">
        <v>8578</v>
      </c>
      <c r="U610" t="s">
        <v>8579</v>
      </c>
      <c r="V610" t="s">
        <v>8580</v>
      </c>
      <c r="W610" t="s">
        <v>8581</v>
      </c>
      <c r="X610" t="s">
        <v>8582</v>
      </c>
      <c r="Y610" t="s">
        <v>8583</v>
      </c>
      <c r="Z610" t="s">
        <v>8584</v>
      </c>
      <c r="AA610" t="s">
        <v>8585</v>
      </c>
      <c r="AB610" t="s">
        <v>8586</v>
      </c>
      <c r="AC610" t="s">
        <v>74</v>
      </c>
      <c r="AD610" t="s">
        <v>74</v>
      </c>
      <c r="AE610" t="s">
        <v>74</v>
      </c>
      <c r="AF610" t="s">
        <v>74</v>
      </c>
      <c r="AG610">
        <v>120</v>
      </c>
      <c r="AH610">
        <v>77</v>
      </c>
      <c r="AI610">
        <v>85</v>
      </c>
      <c r="AJ610">
        <v>1</v>
      </c>
      <c r="AK610">
        <v>36</v>
      </c>
      <c r="AL610" t="s">
        <v>942</v>
      </c>
      <c r="AM610" t="s">
        <v>807</v>
      </c>
      <c r="AN610" t="s">
        <v>943</v>
      </c>
      <c r="AO610" t="s">
        <v>8587</v>
      </c>
      <c r="AP610" t="s">
        <v>8588</v>
      </c>
      <c r="AQ610" t="s">
        <v>74</v>
      </c>
      <c r="AR610" t="s">
        <v>8589</v>
      </c>
      <c r="AS610" t="s">
        <v>8590</v>
      </c>
      <c r="AT610" t="s">
        <v>8551</v>
      </c>
      <c r="AU610">
        <v>2002</v>
      </c>
      <c r="AV610">
        <v>90</v>
      </c>
      <c r="AW610">
        <v>4</v>
      </c>
      <c r="AX610" t="s">
        <v>74</v>
      </c>
      <c r="AY610" t="s">
        <v>74</v>
      </c>
      <c r="AZ610" t="s">
        <v>74</v>
      </c>
      <c r="BA610" t="s">
        <v>74</v>
      </c>
      <c r="BB610">
        <v>525</v>
      </c>
      <c r="BC610">
        <v>536</v>
      </c>
      <c r="BD610" t="s">
        <v>74</v>
      </c>
      <c r="BE610" t="s">
        <v>8591</v>
      </c>
      <c r="BF610" t="str">
        <f>HYPERLINK("http://dx.doi.org/10.1093/aob/mcf171","http://dx.doi.org/10.1093/aob/mcf171")</f>
        <v>http://dx.doi.org/10.1093/aob/mcf171</v>
      </c>
      <c r="BG610" t="s">
        <v>74</v>
      </c>
      <c r="BH610" t="s">
        <v>74</v>
      </c>
      <c r="BI610">
        <v>12</v>
      </c>
      <c r="BJ610" t="s">
        <v>2326</v>
      </c>
      <c r="BK610" t="s">
        <v>605</v>
      </c>
      <c r="BL610" t="s">
        <v>2326</v>
      </c>
      <c r="BM610" t="s">
        <v>8592</v>
      </c>
      <c r="BN610">
        <v>12324277</v>
      </c>
      <c r="BO610" t="s">
        <v>3298</v>
      </c>
      <c r="BP610" t="s">
        <v>74</v>
      </c>
      <c r="BQ610" t="s">
        <v>74</v>
      </c>
      <c r="BR610" t="s">
        <v>98</v>
      </c>
      <c r="BS610" t="s">
        <v>8593</v>
      </c>
      <c r="BT610" t="str">
        <f>HYPERLINK("https%3A%2F%2Fwww.webofscience.com%2Fwos%2Fwoscc%2Ffull-record%2FWOS:000178590700014","View Full Record in Web of Science")</f>
        <v>View Full Record in Web of Science</v>
      </c>
    </row>
    <row r="611" spans="1:72" x14ac:dyDescent="0.15">
      <c r="A611" t="s">
        <v>552</v>
      </c>
      <c r="B611" t="s">
        <v>8594</v>
      </c>
      <c r="C611" t="s">
        <v>74</v>
      </c>
      <c r="D611" t="s">
        <v>74</v>
      </c>
      <c r="E611" t="s">
        <v>74</v>
      </c>
      <c r="F611" t="s">
        <v>8594</v>
      </c>
      <c r="G611" t="s">
        <v>74</v>
      </c>
      <c r="H611" t="s">
        <v>74</v>
      </c>
      <c r="I611" t="s">
        <v>8595</v>
      </c>
      <c r="J611" t="s">
        <v>8596</v>
      </c>
      <c r="K611" t="s">
        <v>74</v>
      </c>
      <c r="L611" t="s">
        <v>74</v>
      </c>
      <c r="M611" t="s">
        <v>78</v>
      </c>
      <c r="N611" t="s">
        <v>775</v>
      </c>
      <c r="O611" t="s">
        <v>74</v>
      </c>
      <c r="P611" t="s">
        <v>74</v>
      </c>
      <c r="Q611" t="s">
        <v>74</v>
      </c>
      <c r="R611" t="s">
        <v>74</v>
      </c>
      <c r="S611" t="s">
        <v>74</v>
      </c>
      <c r="T611" t="s">
        <v>74</v>
      </c>
      <c r="U611" t="s">
        <v>8597</v>
      </c>
      <c r="V611" t="s">
        <v>8598</v>
      </c>
      <c r="W611" t="s">
        <v>8599</v>
      </c>
      <c r="X611" t="s">
        <v>8600</v>
      </c>
      <c r="Y611" t="s">
        <v>8601</v>
      </c>
      <c r="Z611" t="s">
        <v>8602</v>
      </c>
      <c r="AA611" t="s">
        <v>8603</v>
      </c>
      <c r="AB611" t="s">
        <v>8604</v>
      </c>
      <c r="AC611" t="s">
        <v>74</v>
      </c>
      <c r="AD611" t="s">
        <v>74</v>
      </c>
      <c r="AE611" t="s">
        <v>74</v>
      </c>
      <c r="AF611" t="s">
        <v>74</v>
      </c>
      <c r="AG611">
        <v>27</v>
      </c>
      <c r="AH611">
        <v>69</v>
      </c>
      <c r="AI611">
        <v>86</v>
      </c>
      <c r="AJ611">
        <v>2</v>
      </c>
      <c r="AK611">
        <v>20</v>
      </c>
      <c r="AL611" t="s">
        <v>6252</v>
      </c>
      <c r="AM611" t="s">
        <v>388</v>
      </c>
      <c r="AN611" t="s">
        <v>6253</v>
      </c>
      <c r="AO611" t="s">
        <v>8605</v>
      </c>
      <c r="AP611" t="s">
        <v>8606</v>
      </c>
      <c r="AQ611" t="s">
        <v>74</v>
      </c>
      <c r="AR611" t="s">
        <v>8607</v>
      </c>
      <c r="AS611" t="s">
        <v>8608</v>
      </c>
      <c r="AT611" t="s">
        <v>8551</v>
      </c>
      <c r="AU611">
        <v>2002</v>
      </c>
      <c r="AV611">
        <v>68</v>
      </c>
      <c r="AW611">
        <v>10</v>
      </c>
      <c r="AX611" t="s">
        <v>74</v>
      </c>
      <c r="AY611" t="s">
        <v>74</v>
      </c>
      <c r="AZ611" t="s">
        <v>74</v>
      </c>
      <c r="BA611" t="s">
        <v>74</v>
      </c>
      <c r="BB611">
        <v>5181</v>
      </c>
      <c r="BC611">
        <v>5185</v>
      </c>
      <c r="BD611" t="s">
        <v>74</v>
      </c>
      <c r="BE611" t="s">
        <v>8609</v>
      </c>
      <c r="BF611" t="str">
        <f>HYPERLINK("http://dx.doi.org/10.1128/AEM.68.10.5181-5185.2002","http://dx.doi.org/10.1128/AEM.68.10.5181-5185.2002")</f>
        <v>http://dx.doi.org/10.1128/AEM.68.10.5181-5185.2002</v>
      </c>
      <c r="BG611" t="s">
        <v>74</v>
      </c>
      <c r="BH611" t="s">
        <v>74</v>
      </c>
      <c r="BI611">
        <v>5</v>
      </c>
      <c r="BJ611" t="s">
        <v>2587</v>
      </c>
      <c r="BK611" t="s">
        <v>569</v>
      </c>
      <c r="BL611" t="s">
        <v>2587</v>
      </c>
      <c r="BM611" t="s">
        <v>8610</v>
      </c>
      <c r="BN611">
        <v>12324373</v>
      </c>
      <c r="BO611" t="s">
        <v>4409</v>
      </c>
      <c r="BP611" t="s">
        <v>74</v>
      </c>
      <c r="BQ611" t="s">
        <v>74</v>
      </c>
      <c r="BR611" t="s">
        <v>98</v>
      </c>
      <c r="BS611" t="s">
        <v>8611</v>
      </c>
      <c r="BT611" t="str">
        <f>HYPERLINK("https%3A%2F%2Fwww.webofscience.com%2Fwos%2Fwoscc%2Ffull-record%2FWOS:000178380900064","View Full Record in Web of Science")</f>
        <v>View Full Record in Web of Science</v>
      </c>
    </row>
    <row r="612" spans="1:72" x14ac:dyDescent="0.15">
      <c r="A612" t="s">
        <v>552</v>
      </c>
      <c r="B612" t="s">
        <v>8612</v>
      </c>
      <c r="C612" t="s">
        <v>74</v>
      </c>
      <c r="D612" t="s">
        <v>74</v>
      </c>
      <c r="E612" t="s">
        <v>74</v>
      </c>
      <c r="F612" t="s">
        <v>8612</v>
      </c>
      <c r="G612" t="s">
        <v>74</v>
      </c>
      <c r="H612" t="s">
        <v>74</v>
      </c>
      <c r="I612" t="s">
        <v>8613</v>
      </c>
      <c r="J612" t="s">
        <v>798</v>
      </c>
      <c r="K612" t="s">
        <v>74</v>
      </c>
      <c r="L612" t="s">
        <v>74</v>
      </c>
      <c r="M612" t="s">
        <v>78</v>
      </c>
      <c r="N612" t="s">
        <v>775</v>
      </c>
      <c r="O612" t="s">
        <v>74</v>
      </c>
      <c r="P612" t="s">
        <v>74</v>
      </c>
      <c r="Q612" t="s">
        <v>74</v>
      </c>
      <c r="R612" t="s">
        <v>74</v>
      </c>
      <c r="S612" t="s">
        <v>74</v>
      </c>
      <c r="T612" t="s">
        <v>8614</v>
      </c>
      <c r="U612" t="s">
        <v>8615</v>
      </c>
      <c r="V612" t="s">
        <v>8616</v>
      </c>
      <c r="W612" t="s">
        <v>8617</v>
      </c>
      <c r="X612" t="s">
        <v>8618</v>
      </c>
      <c r="Y612" t="s">
        <v>8619</v>
      </c>
      <c r="Z612" t="s">
        <v>74</v>
      </c>
      <c r="AA612" t="s">
        <v>7792</v>
      </c>
      <c r="AB612" t="s">
        <v>74</v>
      </c>
      <c r="AC612" t="s">
        <v>74</v>
      </c>
      <c r="AD612" t="s">
        <v>74</v>
      </c>
      <c r="AE612" t="s">
        <v>74</v>
      </c>
      <c r="AF612" t="s">
        <v>74</v>
      </c>
      <c r="AG612">
        <v>14</v>
      </c>
      <c r="AH612">
        <v>69</v>
      </c>
      <c r="AI612">
        <v>93</v>
      </c>
      <c r="AJ612">
        <v>4</v>
      </c>
      <c r="AK612">
        <v>22</v>
      </c>
      <c r="AL612" t="s">
        <v>806</v>
      </c>
      <c r="AM612" t="s">
        <v>807</v>
      </c>
      <c r="AN612" t="s">
        <v>808</v>
      </c>
      <c r="AO612" t="s">
        <v>809</v>
      </c>
      <c r="AP612" t="s">
        <v>74</v>
      </c>
      <c r="AQ612" t="s">
        <v>74</v>
      </c>
      <c r="AR612" t="s">
        <v>811</v>
      </c>
      <c r="AS612" t="s">
        <v>812</v>
      </c>
      <c r="AT612" t="s">
        <v>8551</v>
      </c>
      <c r="AU612">
        <v>2002</v>
      </c>
      <c r="AV612">
        <v>36</v>
      </c>
      <c r="AW612">
        <v>31</v>
      </c>
      <c r="AX612" t="s">
        <v>74</v>
      </c>
      <c r="AY612" t="s">
        <v>74</v>
      </c>
      <c r="AZ612" t="s">
        <v>74</v>
      </c>
      <c r="BA612" t="s">
        <v>74</v>
      </c>
      <c r="BB612">
        <v>4977</v>
      </c>
      <c r="BC612">
        <v>4982</v>
      </c>
      <c r="BD612" t="s">
        <v>8620</v>
      </c>
      <c r="BE612" t="s">
        <v>8621</v>
      </c>
      <c r="BF612" t="str">
        <f>HYPERLINK("http://dx.doi.org/10.1016/S1352-2310(02)00340-0","http://dx.doi.org/10.1016/S1352-2310(02)00340-0")</f>
        <v>http://dx.doi.org/10.1016/S1352-2310(02)00340-0</v>
      </c>
      <c r="BG612" t="s">
        <v>74</v>
      </c>
      <c r="BH612" t="s">
        <v>74</v>
      </c>
      <c r="BI612">
        <v>6</v>
      </c>
      <c r="BJ612" t="s">
        <v>815</v>
      </c>
      <c r="BK612" t="s">
        <v>569</v>
      </c>
      <c r="BL612" t="s">
        <v>96</v>
      </c>
      <c r="BM612" t="s">
        <v>8622</v>
      </c>
      <c r="BN612" t="s">
        <v>74</v>
      </c>
      <c r="BO612" t="s">
        <v>74</v>
      </c>
      <c r="BP612" t="s">
        <v>74</v>
      </c>
      <c r="BQ612" t="s">
        <v>74</v>
      </c>
      <c r="BR612" t="s">
        <v>98</v>
      </c>
      <c r="BS612" t="s">
        <v>8623</v>
      </c>
      <c r="BT612" t="str">
        <f>HYPERLINK("https%3A%2F%2Fwww.webofscience.com%2Fwos%2Fwoscc%2Ffull-record%2FWOS:000178854500011","View Full Record in Web of Science")</f>
        <v>View Full Record in Web of Science</v>
      </c>
    </row>
    <row r="613" spans="1:72" x14ac:dyDescent="0.15">
      <c r="A613" t="s">
        <v>552</v>
      </c>
      <c r="B613" t="s">
        <v>8624</v>
      </c>
      <c r="C613" t="s">
        <v>74</v>
      </c>
      <c r="D613" t="s">
        <v>74</v>
      </c>
      <c r="E613" t="s">
        <v>74</v>
      </c>
      <c r="F613" t="s">
        <v>8624</v>
      </c>
      <c r="G613" t="s">
        <v>74</v>
      </c>
      <c r="H613" t="s">
        <v>74</v>
      </c>
      <c r="I613" t="s">
        <v>8625</v>
      </c>
      <c r="J613" t="s">
        <v>8626</v>
      </c>
      <c r="K613" t="s">
        <v>74</v>
      </c>
      <c r="L613" t="s">
        <v>74</v>
      </c>
      <c r="M613" t="s">
        <v>78</v>
      </c>
      <c r="N613" t="s">
        <v>775</v>
      </c>
      <c r="O613" t="s">
        <v>74</v>
      </c>
      <c r="P613" t="s">
        <v>74</v>
      </c>
      <c r="Q613" t="s">
        <v>74</v>
      </c>
      <c r="R613" t="s">
        <v>74</v>
      </c>
      <c r="S613" t="s">
        <v>74</v>
      </c>
      <c r="T613" t="s">
        <v>8627</v>
      </c>
      <c r="U613" t="s">
        <v>8628</v>
      </c>
      <c r="V613" t="s">
        <v>8629</v>
      </c>
      <c r="W613" t="s">
        <v>8630</v>
      </c>
      <c r="X613" t="s">
        <v>8631</v>
      </c>
      <c r="Y613" t="s">
        <v>8632</v>
      </c>
      <c r="Z613" t="s">
        <v>8633</v>
      </c>
      <c r="AA613" t="s">
        <v>8634</v>
      </c>
      <c r="AB613" t="s">
        <v>8635</v>
      </c>
      <c r="AC613" t="s">
        <v>74</v>
      </c>
      <c r="AD613" t="s">
        <v>74</v>
      </c>
      <c r="AE613" t="s">
        <v>74</v>
      </c>
      <c r="AF613" t="s">
        <v>74</v>
      </c>
      <c r="AG613">
        <v>73</v>
      </c>
      <c r="AH613">
        <v>57</v>
      </c>
      <c r="AI613">
        <v>65</v>
      </c>
      <c r="AJ613">
        <v>0</v>
      </c>
      <c r="AK613">
        <v>4</v>
      </c>
      <c r="AL613" t="s">
        <v>2060</v>
      </c>
      <c r="AM613" t="s">
        <v>2061</v>
      </c>
      <c r="AN613" t="s">
        <v>2062</v>
      </c>
      <c r="AO613" t="s">
        <v>8636</v>
      </c>
      <c r="AP613" t="s">
        <v>8637</v>
      </c>
      <c r="AQ613" t="s">
        <v>74</v>
      </c>
      <c r="AR613" t="s">
        <v>8638</v>
      </c>
      <c r="AS613" t="s">
        <v>8639</v>
      </c>
      <c r="AT613" t="s">
        <v>8551</v>
      </c>
      <c r="AU613">
        <v>2002</v>
      </c>
      <c r="AV613">
        <v>49</v>
      </c>
      <c r="AW613">
        <v>5</v>
      </c>
      <c r="AX613" t="s">
        <v>74</v>
      </c>
      <c r="AY613" t="s">
        <v>74</v>
      </c>
      <c r="AZ613" t="s">
        <v>74</v>
      </c>
      <c r="BA613" t="s">
        <v>74</v>
      </c>
      <c r="BB613">
        <v>831</v>
      </c>
      <c r="BC613">
        <v>845</v>
      </c>
      <c r="BD613" t="s">
        <v>74</v>
      </c>
      <c r="BE613" t="s">
        <v>8640</v>
      </c>
      <c r="BF613" t="str">
        <f>HYPERLINK("http://dx.doi.org/10.1046/j.1440-0952.2002.00956.x","http://dx.doi.org/10.1046/j.1440-0952.2002.00956.x")</f>
        <v>http://dx.doi.org/10.1046/j.1440-0952.2002.00956.x</v>
      </c>
      <c r="BG613" t="s">
        <v>74</v>
      </c>
      <c r="BH613" t="s">
        <v>74</v>
      </c>
      <c r="BI613">
        <v>15</v>
      </c>
      <c r="BJ613" t="s">
        <v>1813</v>
      </c>
      <c r="BK613" t="s">
        <v>569</v>
      </c>
      <c r="BL613" t="s">
        <v>1814</v>
      </c>
      <c r="BM613" t="s">
        <v>8641</v>
      </c>
      <c r="BN613" t="s">
        <v>74</v>
      </c>
      <c r="BO613" t="s">
        <v>74</v>
      </c>
      <c r="BP613" t="s">
        <v>74</v>
      </c>
      <c r="BQ613" t="s">
        <v>74</v>
      </c>
      <c r="BR613" t="s">
        <v>98</v>
      </c>
      <c r="BS613" t="s">
        <v>8642</v>
      </c>
      <c r="BT613" t="str">
        <f>HYPERLINK("https%3A%2F%2Fwww.webofscience.com%2Fwos%2Fwoscc%2Ffull-record%2FWOS:000178341600006","View Full Record in Web of Science")</f>
        <v>View Full Record in Web of Science</v>
      </c>
    </row>
    <row r="614" spans="1:72" x14ac:dyDescent="0.15">
      <c r="A614" t="s">
        <v>552</v>
      </c>
      <c r="B614" t="s">
        <v>8643</v>
      </c>
      <c r="C614" t="s">
        <v>74</v>
      </c>
      <c r="D614" t="s">
        <v>74</v>
      </c>
      <c r="E614" t="s">
        <v>74</v>
      </c>
      <c r="F614" t="s">
        <v>8643</v>
      </c>
      <c r="G614" t="s">
        <v>74</v>
      </c>
      <c r="H614" t="s">
        <v>74</v>
      </c>
      <c r="I614" t="s">
        <v>8644</v>
      </c>
      <c r="J614" t="s">
        <v>8645</v>
      </c>
      <c r="K614" t="s">
        <v>74</v>
      </c>
      <c r="L614" t="s">
        <v>74</v>
      </c>
      <c r="M614" t="s">
        <v>78</v>
      </c>
      <c r="N614" t="s">
        <v>775</v>
      </c>
      <c r="O614" t="s">
        <v>74</v>
      </c>
      <c r="P614" t="s">
        <v>74</v>
      </c>
      <c r="Q614" t="s">
        <v>74</v>
      </c>
      <c r="R614" t="s">
        <v>74</v>
      </c>
      <c r="S614" t="s">
        <v>74</v>
      </c>
      <c r="T614" t="s">
        <v>8646</v>
      </c>
      <c r="U614" t="s">
        <v>8647</v>
      </c>
      <c r="V614" t="s">
        <v>8648</v>
      </c>
      <c r="W614" t="s">
        <v>8649</v>
      </c>
      <c r="X614" t="s">
        <v>8650</v>
      </c>
      <c r="Y614" t="s">
        <v>8651</v>
      </c>
      <c r="Z614" t="s">
        <v>8652</v>
      </c>
      <c r="AA614" t="s">
        <v>8653</v>
      </c>
      <c r="AB614" t="s">
        <v>8654</v>
      </c>
      <c r="AC614" t="s">
        <v>74</v>
      </c>
      <c r="AD614" t="s">
        <v>74</v>
      </c>
      <c r="AE614" t="s">
        <v>74</v>
      </c>
      <c r="AF614" t="s">
        <v>74</v>
      </c>
      <c r="AG614">
        <v>59</v>
      </c>
      <c r="AH614">
        <v>39</v>
      </c>
      <c r="AI614">
        <v>46</v>
      </c>
      <c r="AJ614">
        <v>4</v>
      </c>
      <c r="AK614">
        <v>36</v>
      </c>
      <c r="AL614" t="s">
        <v>1230</v>
      </c>
      <c r="AM614" t="s">
        <v>1210</v>
      </c>
      <c r="AN614" t="s">
        <v>1211</v>
      </c>
      <c r="AO614" t="s">
        <v>8655</v>
      </c>
      <c r="AP614" t="s">
        <v>8656</v>
      </c>
      <c r="AQ614" t="s">
        <v>74</v>
      </c>
      <c r="AR614" t="s">
        <v>8645</v>
      </c>
      <c r="AS614" t="s">
        <v>8657</v>
      </c>
      <c r="AT614" t="s">
        <v>8551</v>
      </c>
      <c r="AU614">
        <v>2002</v>
      </c>
      <c r="AV614">
        <v>61</v>
      </c>
      <c r="AW614">
        <v>1</v>
      </c>
      <c r="AX614" t="s">
        <v>74</v>
      </c>
      <c r="AY614" t="s">
        <v>74</v>
      </c>
      <c r="AZ614" t="s">
        <v>74</v>
      </c>
      <c r="BA614" t="s">
        <v>74</v>
      </c>
      <c r="BB614">
        <v>1</v>
      </c>
      <c r="BC614">
        <v>19</v>
      </c>
      <c r="BD614" t="s">
        <v>74</v>
      </c>
      <c r="BE614" t="s">
        <v>8658</v>
      </c>
      <c r="BF614" t="str">
        <f>HYPERLINK("http://dx.doi.org/10.1023/A:1020270032512","http://dx.doi.org/10.1023/A:1020270032512")</f>
        <v>http://dx.doi.org/10.1023/A:1020270032512</v>
      </c>
      <c r="BG614" t="s">
        <v>74</v>
      </c>
      <c r="BH614" t="s">
        <v>74</v>
      </c>
      <c r="BI614">
        <v>19</v>
      </c>
      <c r="BJ614" t="s">
        <v>2274</v>
      </c>
      <c r="BK614" t="s">
        <v>569</v>
      </c>
      <c r="BL614" t="s">
        <v>2275</v>
      </c>
      <c r="BM614" t="s">
        <v>8659</v>
      </c>
      <c r="BN614" t="s">
        <v>74</v>
      </c>
      <c r="BO614" t="s">
        <v>74</v>
      </c>
      <c r="BP614" t="s">
        <v>74</v>
      </c>
      <c r="BQ614" t="s">
        <v>74</v>
      </c>
      <c r="BR614" t="s">
        <v>98</v>
      </c>
      <c r="BS614" t="s">
        <v>8660</v>
      </c>
      <c r="BT614" t="str">
        <f>HYPERLINK("https%3A%2F%2Fwww.webofscience.com%2Fwos%2Fwoscc%2Ffull-record%2FWOS:000178065300001","View Full Record in Web of Science")</f>
        <v>View Full Record in Web of Science</v>
      </c>
    </row>
    <row r="615" spans="1:72" x14ac:dyDescent="0.15">
      <c r="A615" t="s">
        <v>552</v>
      </c>
      <c r="B615" t="s">
        <v>3656</v>
      </c>
      <c r="C615" t="s">
        <v>74</v>
      </c>
      <c r="D615" t="s">
        <v>74</v>
      </c>
      <c r="E615" t="s">
        <v>74</v>
      </c>
      <c r="F615" t="s">
        <v>3656</v>
      </c>
      <c r="G615" t="s">
        <v>74</v>
      </c>
      <c r="H615" t="s">
        <v>74</v>
      </c>
      <c r="I615" t="s">
        <v>8661</v>
      </c>
      <c r="J615" t="s">
        <v>8662</v>
      </c>
      <c r="K615" t="s">
        <v>74</v>
      </c>
      <c r="L615" t="s">
        <v>74</v>
      </c>
      <c r="M615" t="s">
        <v>78</v>
      </c>
      <c r="N615" t="s">
        <v>775</v>
      </c>
      <c r="O615" t="s">
        <v>74</v>
      </c>
      <c r="P615" t="s">
        <v>74</v>
      </c>
      <c r="Q615" t="s">
        <v>74</v>
      </c>
      <c r="R615" t="s">
        <v>74</v>
      </c>
      <c r="S615" t="s">
        <v>74</v>
      </c>
      <c r="T615" t="s">
        <v>74</v>
      </c>
      <c r="U615" t="s">
        <v>8663</v>
      </c>
      <c r="V615" t="s">
        <v>8664</v>
      </c>
      <c r="W615" t="s">
        <v>238</v>
      </c>
      <c r="X615" t="s">
        <v>239</v>
      </c>
      <c r="Y615" t="s">
        <v>6144</v>
      </c>
      <c r="Z615" t="s">
        <v>74</v>
      </c>
      <c r="AA615" t="s">
        <v>74</v>
      </c>
      <c r="AB615" t="s">
        <v>74</v>
      </c>
      <c r="AC615" t="s">
        <v>74</v>
      </c>
      <c r="AD615" t="s">
        <v>74</v>
      </c>
      <c r="AE615" t="s">
        <v>74</v>
      </c>
      <c r="AF615" t="s">
        <v>74</v>
      </c>
      <c r="AG615">
        <v>52</v>
      </c>
      <c r="AH615">
        <v>6</v>
      </c>
      <c r="AI615">
        <v>6</v>
      </c>
      <c r="AJ615">
        <v>0</v>
      </c>
      <c r="AK615">
        <v>3</v>
      </c>
      <c r="AL615" t="s">
        <v>8665</v>
      </c>
      <c r="AM615" t="s">
        <v>8666</v>
      </c>
      <c r="AN615" t="s">
        <v>8667</v>
      </c>
      <c r="AO615" t="s">
        <v>8668</v>
      </c>
      <c r="AP615" t="s">
        <v>74</v>
      </c>
      <c r="AQ615" t="s">
        <v>74</v>
      </c>
      <c r="AR615" t="s">
        <v>8669</v>
      </c>
      <c r="AS615" t="s">
        <v>8670</v>
      </c>
      <c r="AT615" t="s">
        <v>8551</v>
      </c>
      <c r="AU615">
        <v>2002</v>
      </c>
      <c r="AV615">
        <v>203</v>
      </c>
      <c r="AW615">
        <v>2</v>
      </c>
      <c r="AX615" t="s">
        <v>74</v>
      </c>
      <c r="AY615" t="s">
        <v>74</v>
      </c>
      <c r="AZ615" t="s">
        <v>74</v>
      </c>
      <c r="BA615" t="s">
        <v>74</v>
      </c>
      <c r="BB615">
        <v>161</v>
      </c>
      <c r="BC615">
        <v>172</v>
      </c>
      <c r="BD615" t="s">
        <v>74</v>
      </c>
      <c r="BE615" t="s">
        <v>8671</v>
      </c>
      <c r="BF615" t="str">
        <f>HYPERLINK("http://dx.doi.org/10.2307/1543385","http://dx.doi.org/10.2307/1543385")</f>
        <v>http://dx.doi.org/10.2307/1543385</v>
      </c>
      <c r="BG615" t="s">
        <v>74</v>
      </c>
      <c r="BH615" t="s">
        <v>74</v>
      </c>
      <c r="BI615">
        <v>12</v>
      </c>
      <c r="BJ615" t="s">
        <v>8672</v>
      </c>
      <c r="BK615" t="s">
        <v>569</v>
      </c>
      <c r="BL615" t="s">
        <v>8673</v>
      </c>
      <c r="BM615" t="s">
        <v>8674</v>
      </c>
      <c r="BN615">
        <v>12414566</v>
      </c>
      <c r="BO615" t="s">
        <v>590</v>
      </c>
      <c r="BP615" t="s">
        <v>74</v>
      </c>
      <c r="BQ615" t="s">
        <v>74</v>
      </c>
      <c r="BR615" t="s">
        <v>98</v>
      </c>
      <c r="BS615" t="s">
        <v>8675</v>
      </c>
      <c r="BT615" t="str">
        <f>HYPERLINK("https%3A%2F%2Fwww.webofscience.com%2Fwos%2Fwoscc%2Ffull-record%2FWOS:000179108500005","View Full Record in Web of Science")</f>
        <v>View Full Record in Web of Science</v>
      </c>
    </row>
    <row r="616" spans="1:72" x14ac:dyDescent="0.15">
      <c r="A616" t="s">
        <v>552</v>
      </c>
      <c r="B616" t="s">
        <v>8676</v>
      </c>
      <c r="C616" t="s">
        <v>74</v>
      </c>
      <c r="D616" t="s">
        <v>74</v>
      </c>
      <c r="E616" t="s">
        <v>74</v>
      </c>
      <c r="F616" t="s">
        <v>8676</v>
      </c>
      <c r="G616" t="s">
        <v>74</v>
      </c>
      <c r="H616" t="s">
        <v>74</v>
      </c>
      <c r="I616" t="s">
        <v>8677</v>
      </c>
      <c r="J616" t="s">
        <v>7338</v>
      </c>
      <c r="K616" t="s">
        <v>74</v>
      </c>
      <c r="L616" t="s">
        <v>74</v>
      </c>
      <c r="M616" t="s">
        <v>78</v>
      </c>
      <c r="N616" t="s">
        <v>775</v>
      </c>
      <c r="O616" t="s">
        <v>74</v>
      </c>
      <c r="P616" t="s">
        <v>74</v>
      </c>
      <c r="Q616" t="s">
        <v>74</v>
      </c>
      <c r="R616" t="s">
        <v>74</v>
      </c>
      <c r="S616" t="s">
        <v>74</v>
      </c>
      <c r="T616" t="s">
        <v>8678</v>
      </c>
      <c r="U616" t="s">
        <v>8679</v>
      </c>
      <c r="V616" t="s">
        <v>8680</v>
      </c>
      <c r="W616" t="s">
        <v>8681</v>
      </c>
      <c r="X616" t="s">
        <v>2729</v>
      </c>
      <c r="Y616" t="s">
        <v>8682</v>
      </c>
      <c r="Z616" t="s">
        <v>74</v>
      </c>
      <c r="AA616" t="s">
        <v>74</v>
      </c>
      <c r="AB616" t="s">
        <v>74</v>
      </c>
      <c r="AC616" t="s">
        <v>74</v>
      </c>
      <c r="AD616" t="s">
        <v>74</v>
      </c>
      <c r="AE616" t="s">
        <v>74</v>
      </c>
      <c r="AF616" t="s">
        <v>74</v>
      </c>
      <c r="AG616">
        <v>24</v>
      </c>
      <c r="AH616">
        <v>4</v>
      </c>
      <c r="AI616">
        <v>4</v>
      </c>
      <c r="AJ616">
        <v>0</v>
      </c>
      <c r="AK616">
        <v>3</v>
      </c>
      <c r="AL616" t="s">
        <v>806</v>
      </c>
      <c r="AM616" t="s">
        <v>807</v>
      </c>
      <c r="AN616" t="s">
        <v>808</v>
      </c>
      <c r="AO616" t="s">
        <v>7346</v>
      </c>
      <c r="AP616" t="s">
        <v>74</v>
      </c>
      <c r="AQ616" t="s">
        <v>74</v>
      </c>
      <c r="AR616" t="s">
        <v>7348</v>
      </c>
      <c r="AS616" t="s">
        <v>7349</v>
      </c>
      <c r="AT616" t="s">
        <v>8551</v>
      </c>
      <c r="AU616">
        <v>2002</v>
      </c>
      <c r="AV616">
        <v>133</v>
      </c>
      <c r="AW616">
        <v>2</v>
      </c>
      <c r="AX616" t="s">
        <v>74</v>
      </c>
      <c r="AY616" t="s">
        <v>74</v>
      </c>
      <c r="AZ616" t="s">
        <v>74</v>
      </c>
      <c r="BA616" t="s">
        <v>74</v>
      </c>
      <c r="BB616">
        <v>155</v>
      </c>
      <c r="BC616">
        <v>161</v>
      </c>
      <c r="BD616" t="s">
        <v>8683</v>
      </c>
      <c r="BE616" t="s">
        <v>8684</v>
      </c>
      <c r="BF616" t="str">
        <f>HYPERLINK("http://dx.doi.org/10.1016/S1096-4959(02)00104-5","http://dx.doi.org/10.1016/S1096-4959(02)00104-5")</f>
        <v>http://dx.doi.org/10.1016/S1096-4959(02)00104-5</v>
      </c>
      <c r="BG616" t="s">
        <v>74</v>
      </c>
      <c r="BH616" t="s">
        <v>74</v>
      </c>
      <c r="BI616">
        <v>7</v>
      </c>
      <c r="BJ616" t="s">
        <v>7352</v>
      </c>
      <c r="BK616" t="s">
        <v>569</v>
      </c>
      <c r="BL616" t="s">
        <v>7352</v>
      </c>
      <c r="BM616" t="s">
        <v>8685</v>
      </c>
      <c r="BN616">
        <v>12381377</v>
      </c>
      <c r="BO616" t="s">
        <v>74</v>
      </c>
      <c r="BP616" t="s">
        <v>74</v>
      </c>
      <c r="BQ616" t="s">
        <v>74</v>
      </c>
      <c r="BR616" t="s">
        <v>98</v>
      </c>
      <c r="BS616" t="s">
        <v>8686</v>
      </c>
      <c r="BT616" t="str">
        <f>HYPERLINK("https%3A%2F%2Fwww.webofscience.com%2Fwos%2Fwoscc%2Ffull-record%2FWOS:000179108000002","View Full Record in Web of Science")</f>
        <v>View Full Record in Web of Science</v>
      </c>
    </row>
    <row r="617" spans="1:72" x14ac:dyDescent="0.15">
      <c r="A617" t="s">
        <v>552</v>
      </c>
      <c r="B617" t="s">
        <v>8687</v>
      </c>
      <c r="C617" t="s">
        <v>74</v>
      </c>
      <c r="D617" t="s">
        <v>74</v>
      </c>
      <c r="E617" t="s">
        <v>74</v>
      </c>
      <c r="F617" t="s">
        <v>8687</v>
      </c>
      <c r="G617" t="s">
        <v>74</v>
      </c>
      <c r="H617" t="s">
        <v>74</v>
      </c>
      <c r="I617" t="s">
        <v>8688</v>
      </c>
      <c r="J617" t="s">
        <v>8689</v>
      </c>
      <c r="K617" t="s">
        <v>74</v>
      </c>
      <c r="L617" t="s">
        <v>74</v>
      </c>
      <c r="M617" t="s">
        <v>78</v>
      </c>
      <c r="N617" t="s">
        <v>775</v>
      </c>
      <c r="O617" t="s">
        <v>74</v>
      </c>
      <c r="P617" t="s">
        <v>74</v>
      </c>
      <c r="Q617" t="s">
        <v>74</v>
      </c>
      <c r="R617" t="s">
        <v>74</v>
      </c>
      <c r="S617" t="s">
        <v>74</v>
      </c>
      <c r="T617" t="s">
        <v>8690</v>
      </c>
      <c r="U617" t="s">
        <v>8691</v>
      </c>
      <c r="V617" t="s">
        <v>8692</v>
      </c>
      <c r="W617" t="s">
        <v>8693</v>
      </c>
      <c r="X617" t="s">
        <v>8694</v>
      </c>
      <c r="Y617" t="s">
        <v>8695</v>
      </c>
      <c r="Z617" t="s">
        <v>8696</v>
      </c>
      <c r="AA617" t="s">
        <v>8697</v>
      </c>
      <c r="AB617" t="s">
        <v>8698</v>
      </c>
      <c r="AC617" t="s">
        <v>74</v>
      </c>
      <c r="AD617" t="s">
        <v>74</v>
      </c>
      <c r="AE617" t="s">
        <v>74</v>
      </c>
      <c r="AF617" t="s">
        <v>74</v>
      </c>
      <c r="AG617">
        <v>33</v>
      </c>
      <c r="AH617">
        <v>115</v>
      </c>
      <c r="AI617">
        <v>120</v>
      </c>
      <c r="AJ617">
        <v>0</v>
      </c>
      <c r="AK617">
        <v>38</v>
      </c>
      <c r="AL617" t="s">
        <v>1147</v>
      </c>
      <c r="AM617" t="s">
        <v>1148</v>
      </c>
      <c r="AN617" t="s">
        <v>1149</v>
      </c>
      <c r="AO617" t="s">
        <v>8699</v>
      </c>
      <c r="AP617" t="s">
        <v>8700</v>
      </c>
      <c r="AQ617" t="s">
        <v>74</v>
      </c>
      <c r="AR617" t="s">
        <v>8701</v>
      </c>
      <c r="AS617" t="s">
        <v>8702</v>
      </c>
      <c r="AT617" t="s">
        <v>8551</v>
      </c>
      <c r="AU617">
        <v>2002</v>
      </c>
      <c r="AV617">
        <v>21</v>
      </c>
      <c r="AW617">
        <v>10</v>
      </c>
      <c r="AX617" t="s">
        <v>74</v>
      </c>
      <c r="AY617" t="s">
        <v>74</v>
      </c>
      <c r="AZ617" t="s">
        <v>74</v>
      </c>
      <c r="BA617" t="s">
        <v>74</v>
      </c>
      <c r="BB617">
        <v>2014</v>
      </c>
      <c r="BC617">
        <v>2019</v>
      </c>
      <c r="BD617" t="s">
        <v>74</v>
      </c>
      <c r="BE617" t="s">
        <v>8703</v>
      </c>
      <c r="BF617" t="str">
        <f>HYPERLINK("http://dx.doi.org/10.1897/1551-5028(2002)021&lt;2014:SHNPFA&gt;2.0.CO;2","http://dx.doi.org/10.1897/1551-5028(2002)021&lt;2014:SHNPFA&gt;2.0.CO;2")</f>
        <v>http://dx.doi.org/10.1897/1551-5028(2002)021&lt;2014:SHNPFA&gt;2.0.CO;2</v>
      </c>
      <c r="BG617" t="s">
        <v>74</v>
      </c>
      <c r="BH617" t="s">
        <v>74</v>
      </c>
      <c r="BI617">
        <v>6</v>
      </c>
      <c r="BJ617" t="s">
        <v>8704</v>
      </c>
      <c r="BK617" t="s">
        <v>569</v>
      </c>
      <c r="BL617" t="s">
        <v>8705</v>
      </c>
      <c r="BM617" t="s">
        <v>8706</v>
      </c>
      <c r="BN617">
        <v>12371475</v>
      </c>
      <c r="BO617" t="s">
        <v>74</v>
      </c>
      <c r="BP617" t="s">
        <v>74</v>
      </c>
      <c r="BQ617" t="s">
        <v>74</v>
      </c>
      <c r="BR617" t="s">
        <v>98</v>
      </c>
      <c r="BS617" t="s">
        <v>8707</v>
      </c>
      <c r="BT617" t="str">
        <f>HYPERLINK("https%3A%2F%2Fwww.webofscience.com%2Fwos%2Fwoscc%2Ffull-record%2FWOS:000178153300002","View Full Record in Web of Science")</f>
        <v>View Full Record in Web of Science</v>
      </c>
    </row>
    <row r="618" spans="1:72" x14ac:dyDescent="0.15">
      <c r="A618" t="s">
        <v>552</v>
      </c>
      <c r="B618" t="s">
        <v>8708</v>
      </c>
      <c r="C618" t="s">
        <v>74</v>
      </c>
      <c r="D618" t="s">
        <v>74</v>
      </c>
      <c r="E618" t="s">
        <v>74</v>
      </c>
      <c r="F618" t="s">
        <v>8708</v>
      </c>
      <c r="G618" t="s">
        <v>74</v>
      </c>
      <c r="H618" t="s">
        <v>74</v>
      </c>
      <c r="I618" t="s">
        <v>8709</v>
      </c>
      <c r="J618" t="s">
        <v>6118</v>
      </c>
      <c r="K618" t="s">
        <v>74</v>
      </c>
      <c r="L618" t="s">
        <v>74</v>
      </c>
      <c r="M618" t="s">
        <v>78</v>
      </c>
      <c r="N618" t="s">
        <v>775</v>
      </c>
      <c r="O618" t="s">
        <v>74</v>
      </c>
      <c r="P618" t="s">
        <v>74</v>
      </c>
      <c r="Q618" t="s">
        <v>74</v>
      </c>
      <c r="R618" t="s">
        <v>74</v>
      </c>
      <c r="S618" t="s">
        <v>74</v>
      </c>
      <c r="T618" t="s">
        <v>8710</v>
      </c>
      <c r="U618" t="s">
        <v>74</v>
      </c>
      <c r="V618" t="s">
        <v>8711</v>
      </c>
      <c r="W618" t="s">
        <v>8712</v>
      </c>
      <c r="X618" t="s">
        <v>8713</v>
      </c>
      <c r="Y618" t="s">
        <v>8714</v>
      </c>
      <c r="Z618" t="s">
        <v>8715</v>
      </c>
      <c r="AA618" t="s">
        <v>8716</v>
      </c>
      <c r="AB618" t="s">
        <v>8717</v>
      </c>
      <c r="AC618" t="s">
        <v>74</v>
      </c>
      <c r="AD618" t="s">
        <v>74</v>
      </c>
      <c r="AE618" t="s">
        <v>74</v>
      </c>
      <c r="AF618" t="s">
        <v>74</v>
      </c>
      <c r="AG618">
        <v>34</v>
      </c>
      <c r="AH618">
        <v>25</v>
      </c>
      <c r="AI618">
        <v>26</v>
      </c>
      <c r="AJ618">
        <v>1</v>
      </c>
      <c r="AK618">
        <v>2</v>
      </c>
      <c r="AL618" t="s">
        <v>8718</v>
      </c>
      <c r="AM618" t="s">
        <v>2132</v>
      </c>
      <c r="AN618" t="s">
        <v>8719</v>
      </c>
      <c r="AO618" t="s">
        <v>6129</v>
      </c>
      <c r="AP618" t="s">
        <v>6130</v>
      </c>
      <c r="AQ618" t="s">
        <v>74</v>
      </c>
      <c r="AR618" t="s">
        <v>6131</v>
      </c>
      <c r="AS618" t="s">
        <v>6132</v>
      </c>
      <c r="AT618" t="s">
        <v>8551</v>
      </c>
      <c r="AU618">
        <v>2002</v>
      </c>
      <c r="AV618">
        <v>38</v>
      </c>
      <c r="AW618">
        <v>3</v>
      </c>
      <c r="AX618" t="s">
        <v>74</v>
      </c>
      <c r="AY618" t="s">
        <v>74</v>
      </c>
      <c r="AZ618" t="s">
        <v>74</v>
      </c>
      <c r="BA618" t="s">
        <v>74</v>
      </c>
      <c r="BB618">
        <v>213</v>
      </c>
      <c r="BC618">
        <v>222</v>
      </c>
      <c r="BD618" t="s">
        <v>74</v>
      </c>
      <c r="BE618" t="s">
        <v>8720</v>
      </c>
      <c r="BF618" t="str">
        <f>HYPERLINK("http://dx.doi.org/10.1078/0932-4739-00862","http://dx.doi.org/10.1078/0932-4739-00862")</f>
        <v>http://dx.doi.org/10.1078/0932-4739-00862</v>
      </c>
      <c r="BG618" t="s">
        <v>74</v>
      </c>
      <c r="BH618" t="s">
        <v>74</v>
      </c>
      <c r="BI618">
        <v>10</v>
      </c>
      <c r="BJ618" t="s">
        <v>2446</v>
      </c>
      <c r="BK618" t="s">
        <v>569</v>
      </c>
      <c r="BL618" t="s">
        <v>2446</v>
      </c>
      <c r="BM618" t="s">
        <v>8721</v>
      </c>
      <c r="BN618" t="s">
        <v>74</v>
      </c>
      <c r="BO618" t="s">
        <v>74</v>
      </c>
      <c r="BP618" t="s">
        <v>74</v>
      </c>
      <c r="BQ618" t="s">
        <v>74</v>
      </c>
      <c r="BR618" t="s">
        <v>98</v>
      </c>
      <c r="BS618" t="s">
        <v>8722</v>
      </c>
      <c r="BT618" t="str">
        <f>HYPERLINK("https%3A%2F%2Fwww.webofscience.com%2Fwos%2Fwoscc%2Ffull-record%2FWOS:000179057800002","View Full Record in Web of Science")</f>
        <v>View Full Record in Web of Science</v>
      </c>
    </row>
    <row r="619" spans="1:72" x14ac:dyDescent="0.15">
      <c r="A619" t="s">
        <v>552</v>
      </c>
      <c r="B619" t="s">
        <v>8723</v>
      </c>
      <c r="C619" t="s">
        <v>74</v>
      </c>
      <c r="D619" t="s">
        <v>74</v>
      </c>
      <c r="E619" t="s">
        <v>74</v>
      </c>
      <c r="F619" t="s">
        <v>8723</v>
      </c>
      <c r="G619" t="s">
        <v>74</v>
      </c>
      <c r="H619" t="s">
        <v>74</v>
      </c>
      <c r="I619" t="s">
        <v>8724</v>
      </c>
      <c r="J619" t="s">
        <v>2984</v>
      </c>
      <c r="K619" t="s">
        <v>74</v>
      </c>
      <c r="L619" t="s">
        <v>74</v>
      </c>
      <c r="M619" t="s">
        <v>78</v>
      </c>
      <c r="N619" t="s">
        <v>775</v>
      </c>
      <c r="O619" t="s">
        <v>74</v>
      </c>
      <c r="P619" t="s">
        <v>74</v>
      </c>
      <c r="Q619" t="s">
        <v>74</v>
      </c>
      <c r="R619" t="s">
        <v>74</v>
      </c>
      <c r="S619" t="s">
        <v>74</v>
      </c>
      <c r="T619" t="s">
        <v>8725</v>
      </c>
      <c r="U619" t="s">
        <v>8726</v>
      </c>
      <c r="V619" t="s">
        <v>8727</v>
      </c>
      <c r="W619" t="s">
        <v>8728</v>
      </c>
      <c r="X619" t="s">
        <v>3494</v>
      </c>
      <c r="Y619" t="s">
        <v>8729</v>
      </c>
      <c r="Z619" t="s">
        <v>8730</v>
      </c>
      <c r="AA619" t="s">
        <v>74</v>
      </c>
      <c r="AB619" t="s">
        <v>74</v>
      </c>
      <c r="AC619" t="s">
        <v>74</v>
      </c>
      <c r="AD619" t="s">
        <v>74</v>
      </c>
      <c r="AE619" t="s">
        <v>74</v>
      </c>
      <c r="AF619" t="s">
        <v>74</v>
      </c>
      <c r="AG619">
        <v>85</v>
      </c>
      <c r="AH619">
        <v>94</v>
      </c>
      <c r="AI619">
        <v>107</v>
      </c>
      <c r="AJ619">
        <v>0</v>
      </c>
      <c r="AK619">
        <v>23</v>
      </c>
      <c r="AL619" t="s">
        <v>8731</v>
      </c>
      <c r="AM619" t="s">
        <v>3784</v>
      </c>
      <c r="AN619" t="s">
        <v>8732</v>
      </c>
      <c r="AO619" t="s">
        <v>8733</v>
      </c>
      <c r="AP619" t="s">
        <v>74</v>
      </c>
      <c r="AQ619" t="s">
        <v>74</v>
      </c>
      <c r="AR619" t="s">
        <v>2984</v>
      </c>
      <c r="AS619" t="s">
        <v>8734</v>
      </c>
      <c r="AT619" t="s">
        <v>8551</v>
      </c>
      <c r="AU619">
        <v>2002</v>
      </c>
      <c r="AV619">
        <v>56</v>
      </c>
      <c r="AW619">
        <v>10</v>
      </c>
      <c r="AX619" t="s">
        <v>74</v>
      </c>
      <c r="AY619" t="s">
        <v>74</v>
      </c>
      <c r="AZ619" t="s">
        <v>74</v>
      </c>
      <c r="BA619" t="s">
        <v>74</v>
      </c>
      <c r="BB619">
        <v>1954</v>
      </c>
      <c r="BC619">
        <v>1967</v>
      </c>
      <c r="BD619" t="s">
        <v>74</v>
      </c>
      <c r="BE619" t="s">
        <v>74</v>
      </c>
      <c r="BF619" t="s">
        <v>74</v>
      </c>
      <c r="BG619" t="s">
        <v>74</v>
      </c>
      <c r="BH619" t="s">
        <v>74</v>
      </c>
      <c r="BI619">
        <v>14</v>
      </c>
      <c r="BJ619" t="s">
        <v>8735</v>
      </c>
      <c r="BK619" t="s">
        <v>569</v>
      </c>
      <c r="BL619" t="s">
        <v>8736</v>
      </c>
      <c r="BM619" t="s">
        <v>8737</v>
      </c>
      <c r="BN619">
        <v>12449482</v>
      </c>
      <c r="BO619" t="s">
        <v>74</v>
      </c>
      <c r="BP619" t="s">
        <v>74</v>
      </c>
      <c r="BQ619" t="s">
        <v>74</v>
      </c>
      <c r="BR619" t="s">
        <v>98</v>
      </c>
      <c r="BS619" t="s">
        <v>8738</v>
      </c>
      <c r="BT619" t="str">
        <f>HYPERLINK("https%3A%2F%2Fwww.webofscience.com%2Fwos%2Fwoscc%2Ffull-record%2FWOS:000179241700007","View Full Record in Web of Science")</f>
        <v>View Full Record in Web of Science</v>
      </c>
    </row>
    <row r="620" spans="1:72" x14ac:dyDescent="0.15">
      <c r="A620" t="s">
        <v>552</v>
      </c>
      <c r="B620" t="s">
        <v>8739</v>
      </c>
      <c r="C620" t="s">
        <v>74</v>
      </c>
      <c r="D620" t="s">
        <v>74</v>
      </c>
      <c r="E620" t="s">
        <v>74</v>
      </c>
      <c r="F620" t="s">
        <v>8739</v>
      </c>
      <c r="G620" t="s">
        <v>74</v>
      </c>
      <c r="H620" t="s">
        <v>74</v>
      </c>
      <c r="I620" t="s">
        <v>8740</v>
      </c>
      <c r="J620" t="s">
        <v>8741</v>
      </c>
      <c r="K620" t="s">
        <v>74</v>
      </c>
      <c r="L620" t="s">
        <v>74</v>
      </c>
      <c r="M620" t="s">
        <v>78</v>
      </c>
      <c r="N620" t="s">
        <v>775</v>
      </c>
      <c r="O620" t="s">
        <v>74</v>
      </c>
      <c r="P620" t="s">
        <v>74</v>
      </c>
      <c r="Q620" t="s">
        <v>74</v>
      </c>
      <c r="R620" t="s">
        <v>74</v>
      </c>
      <c r="S620" t="s">
        <v>74</v>
      </c>
      <c r="T620" t="s">
        <v>8742</v>
      </c>
      <c r="U620" t="s">
        <v>8743</v>
      </c>
      <c r="V620" t="s">
        <v>8744</v>
      </c>
      <c r="W620" t="s">
        <v>8745</v>
      </c>
      <c r="X620" t="s">
        <v>8746</v>
      </c>
      <c r="Y620" t="s">
        <v>8747</v>
      </c>
      <c r="Z620" t="s">
        <v>8748</v>
      </c>
      <c r="AA620" t="s">
        <v>74</v>
      </c>
      <c r="AB620" t="s">
        <v>8749</v>
      </c>
      <c r="AC620" t="s">
        <v>74</v>
      </c>
      <c r="AD620" t="s">
        <v>74</v>
      </c>
      <c r="AE620" t="s">
        <v>74</v>
      </c>
      <c r="AF620" t="s">
        <v>74</v>
      </c>
      <c r="AG620">
        <v>33</v>
      </c>
      <c r="AH620">
        <v>25</v>
      </c>
      <c r="AI620">
        <v>26</v>
      </c>
      <c r="AJ620">
        <v>0</v>
      </c>
      <c r="AK620">
        <v>4</v>
      </c>
      <c r="AL620" t="s">
        <v>8750</v>
      </c>
      <c r="AM620" t="s">
        <v>2209</v>
      </c>
      <c r="AN620" t="s">
        <v>8751</v>
      </c>
      <c r="AO620" t="s">
        <v>8752</v>
      </c>
      <c r="AP620" t="s">
        <v>8753</v>
      </c>
      <c r="AQ620" t="s">
        <v>74</v>
      </c>
      <c r="AR620" t="s">
        <v>8741</v>
      </c>
      <c r="AS620" t="s">
        <v>8754</v>
      </c>
      <c r="AT620" t="s">
        <v>8551</v>
      </c>
      <c r="AU620">
        <v>2002</v>
      </c>
      <c r="AV620">
        <v>6</v>
      </c>
      <c r="AW620">
        <v>5</v>
      </c>
      <c r="AX620" t="s">
        <v>74</v>
      </c>
      <c r="AY620" t="s">
        <v>74</v>
      </c>
      <c r="AZ620" t="s">
        <v>74</v>
      </c>
      <c r="BA620" t="s">
        <v>74</v>
      </c>
      <c r="BB620">
        <v>385</v>
      </c>
      <c r="BC620">
        <v>389</v>
      </c>
      <c r="BD620" t="s">
        <v>74</v>
      </c>
      <c r="BE620" t="s">
        <v>8755</v>
      </c>
      <c r="BF620" t="str">
        <f>HYPERLINK("http://dx.doi.org/10.1007/s00792-002-0268-5","http://dx.doi.org/10.1007/s00792-002-0268-5")</f>
        <v>http://dx.doi.org/10.1007/s00792-002-0268-5</v>
      </c>
      <c r="BG620" t="s">
        <v>74</v>
      </c>
      <c r="BH620" t="s">
        <v>74</v>
      </c>
      <c r="BI620">
        <v>5</v>
      </c>
      <c r="BJ620" t="s">
        <v>8756</v>
      </c>
      <c r="BK620" t="s">
        <v>569</v>
      </c>
      <c r="BL620" t="s">
        <v>8756</v>
      </c>
      <c r="BM620" t="s">
        <v>8757</v>
      </c>
      <c r="BN620">
        <v>12382114</v>
      </c>
      <c r="BO620" t="s">
        <v>74</v>
      </c>
      <c r="BP620" t="s">
        <v>74</v>
      </c>
      <c r="BQ620" t="s">
        <v>74</v>
      </c>
      <c r="BR620" t="s">
        <v>98</v>
      </c>
      <c r="BS620" t="s">
        <v>8758</v>
      </c>
      <c r="BT620" t="str">
        <f>HYPERLINK("https%3A%2F%2Fwww.webofscience.com%2Fwos%2Fwoscc%2Ffull-record%2FWOS:000178680700005","View Full Record in Web of Science")</f>
        <v>View Full Record in Web of Science</v>
      </c>
    </row>
    <row r="621" spans="1:72" x14ac:dyDescent="0.15">
      <c r="A621" t="s">
        <v>552</v>
      </c>
      <c r="B621" t="s">
        <v>8759</v>
      </c>
      <c r="C621" t="s">
        <v>74</v>
      </c>
      <c r="D621" t="s">
        <v>74</v>
      </c>
      <c r="E621" t="s">
        <v>74</v>
      </c>
      <c r="F621" t="s">
        <v>8759</v>
      </c>
      <c r="G621" t="s">
        <v>74</v>
      </c>
      <c r="H621" t="s">
        <v>74</v>
      </c>
      <c r="I621" t="s">
        <v>8760</v>
      </c>
      <c r="J621" t="s">
        <v>8741</v>
      </c>
      <c r="K621" t="s">
        <v>74</v>
      </c>
      <c r="L621" t="s">
        <v>74</v>
      </c>
      <c r="M621" t="s">
        <v>78</v>
      </c>
      <c r="N621" t="s">
        <v>775</v>
      </c>
      <c r="O621" t="s">
        <v>74</v>
      </c>
      <c r="P621" t="s">
        <v>74</v>
      </c>
      <c r="Q621" t="s">
        <v>74</v>
      </c>
      <c r="R621" t="s">
        <v>74</v>
      </c>
      <c r="S621" t="s">
        <v>74</v>
      </c>
      <c r="T621" t="s">
        <v>8761</v>
      </c>
      <c r="U621" t="s">
        <v>8762</v>
      </c>
      <c r="V621" t="s">
        <v>8763</v>
      </c>
      <c r="W621" t="s">
        <v>8764</v>
      </c>
      <c r="X621" t="s">
        <v>3518</v>
      </c>
      <c r="Y621" t="s">
        <v>8765</v>
      </c>
      <c r="Z621" t="s">
        <v>8766</v>
      </c>
      <c r="AA621" t="s">
        <v>74</v>
      </c>
      <c r="AB621" t="s">
        <v>74</v>
      </c>
      <c r="AC621" t="s">
        <v>74</v>
      </c>
      <c r="AD621" t="s">
        <v>74</v>
      </c>
      <c r="AE621" t="s">
        <v>74</v>
      </c>
      <c r="AF621" t="s">
        <v>74</v>
      </c>
      <c r="AG621">
        <v>31</v>
      </c>
      <c r="AH621">
        <v>13</v>
      </c>
      <c r="AI621">
        <v>16</v>
      </c>
      <c r="AJ621">
        <v>0</v>
      </c>
      <c r="AK621">
        <v>4</v>
      </c>
      <c r="AL621" t="s">
        <v>8750</v>
      </c>
      <c r="AM621" t="s">
        <v>2209</v>
      </c>
      <c r="AN621" t="s">
        <v>8767</v>
      </c>
      <c r="AO621" t="s">
        <v>8752</v>
      </c>
      <c r="AP621" t="s">
        <v>8753</v>
      </c>
      <c r="AQ621" t="s">
        <v>74</v>
      </c>
      <c r="AR621" t="s">
        <v>8741</v>
      </c>
      <c r="AS621" t="s">
        <v>8754</v>
      </c>
      <c r="AT621" t="s">
        <v>8551</v>
      </c>
      <c r="AU621">
        <v>2002</v>
      </c>
      <c r="AV621">
        <v>6</v>
      </c>
      <c r="AW621">
        <v>5</v>
      </c>
      <c r="AX621" t="s">
        <v>74</v>
      </c>
      <c r="AY621" t="s">
        <v>74</v>
      </c>
      <c r="AZ621" t="s">
        <v>74</v>
      </c>
      <c r="BA621" t="s">
        <v>74</v>
      </c>
      <c r="BB621">
        <v>397</v>
      </c>
      <c r="BC621">
        <v>405</v>
      </c>
      <c r="BD621" t="s">
        <v>74</v>
      </c>
      <c r="BE621" t="s">
        <v>8768</v>
      </c>
      <c r="BF621" t="str">
        <f>HYPERLINK("http://dx.doi.org/10.1007/s00792-002-0271-x","http://dx.doi.org/10.1007/s00792-002-0271-x")</f>
        <v>http://dx.doi.org/10.1007/s00792-002-0271-x</v>
      </c>
      <c r="BG621" t="s">
        <v>74</v>
      </c>
      <c r="BH621" t="s">
        <v>74</v>
      </c>
      <c r="BI621">
        <v>9</v>
      </c>
      <c r="BJ621" t="s">
        <v>8756</v>
      </c>
      <c r="BK621" t="s">
        <v>569</v>
      </c>
      <c r="BL621" t="s">
        <v>8756</v>
      </c>
      <c r="BM621" t="s">
        <v>8757</v>
      </c>
      <c r="BN621">
        <v>12382116</v>
      </c>
      <c r="BO621" t="s">
        <v>74</v>
      </c>
      <c r="BP621" t="s">
        <v>74</v>
      </c>
      <c r="BQ621" t="s">
        <v>74</v>
      </c>
      <c r="BR621" t="s">
        <v>98</v>
      </c>
      <c r="BS621" t="s">
        <v>8769</v>
      </c>
      <c r="BT621" t="str">
        <f>HYPERLINK("https%3A%2F%2Fwww.webofscience.com%2Fwos%2Fwoscc%2Ffull-record%2FWOS:000178680700007","View Full Record in Web of Science")</f>
        <v>View Full Record in Web of Science</v>
      </c>
    </row>
    <row r="622" spans="1:72" x14ac:dyDescent="0.15">
      <c r="A622" t="s">
        <v>552</v>
      </c>
      <c r="B622" t="s">
        <v>8770</v>
      </c>
      <c r="C622" t="s">
        <v>74</v>
      </c>
      <c r="D622" t="s">
        <v>74</v>
      </c>
      <c r="E622" t="s">
        <v>74</v>
      </c>
      <c r="F622" t="s">
        <v>8770</v>
      </c>
      <c r="G622" t="s">
        <v>74</v>
      </c>
      <c r="H622" t="s">
        <v>74</v>
      </c>
      <c r="I622" t="s">
        <v>8771</v>
      </c>
      <c r="J622" t="s">
        <v>8741</v>
      </c>
      <c r="K622" t="s">
        <v>74</v>
      </c>
      <c r="L622" t="s">
        <v>74</v>
      </c>
      <c r="M622" t="s">
        <v>78</v>
      </c>
      <c r="N622" t="s">
        <v>775</v>
      </c>
      <c r="O622" t="s">
        <v>74</v>
      </c>
      <c r="P622" t="s">
        <v>74</v>
      </c>
      <c r="Q622" t="s">
        <v>74</v>
      </c>
      <c r="R622" t="s">
        <v>74</v>
      </c>
      <c r="S622" t="s">
        <v>74</v>
      </c>
      <c r="T622" t="s">
        <v>8772</v>
      </c>
      <c r="U622" t="s">
        <v>8773</v>
      </c>
      <c r="V622" t="s">
        <v>8774</v>
      </c>
      <c r="W622" t="s">
        <v>8775</v>
      </c>
      <c r="X622" t="s">
        <v>8776</v>
      </c>
      <c r="Y622" t="s">
        <v>8777</v>
      </c>
      <c r="Z622" t="s">
        <v>8778</v>
      </c>
      <c r="AA622" t="s">
        <v>8779</v>
      </c>
      <c r="AB622" t="s">
        <v>8780</v>
      </c>
      <c r="AC622" t="s">
        <v>74</v>
      </c>
      <c r="AD622" t="s">
        <v>74</v>
      </c>
      <c r="AE622" t="s">
        <v>74</v>
      </c>
      <c r="AF622" t="s">
        <v>74</v>
      </c>
      <c r="AG622">
        <v>31</v>
      </c>
      <c r="AH622">
        <v>90</v>
      </c>
      <c r="AI622">
        <v>112</v>
      </c>
      <c r="AJ622">
        <v>0</v>
      </c>
      <c r="AK622">
        <v>13</v>
      </c>
      <c r="AL622" t="s">
        <v>8750</v>
      </c>
      <c r="AM622" t="s">
        <v>2209</v>
      </c>
      <c r="AN622" t="s">
        <v>8751</v>
      </c>
      <c r="AO622" t="s">
        <v>8752</v>
      </c>
      <c r="AP622" t="s">
        <v>8753</v>
      </c>
      <c r="AQ622" t="s">
        <v>74</v>
      </c>
      <c r="AR622" t="s">
        <v>8741</v>
      </c>
      <c r="AS622" t="s">
        <v>8754</v>
      </c>
      <c r="AT622" t="s">
        <v>8551</v>
      </c>
      <c r="AU622">
        <v>2002</v>
      </c>
      <c r="AV622">
        <v>6</v>
      </c>
      <c r="AW622">
        <v>5</v>
      </c>
      <c r="AX622" t="s">
        <v>74</v>
      </c>
      <c r="AY622" t="s">
        <v>74</v>
      </c>
      <c r="AZ622" t="s">
        <v>74</v>
      </c>
      <c r="BA622" t="s">
        <v>74</v>
      </c>
      <c r="BB622">
        <v>431</v>
      </c>
      <c r="BC622">
        <v>436</v>
      </c>
      <c r="BD622" t="s">
        <v>74</v>
      </c>
      <c r="BE622" t="s">
        <v>8781</v>
      </c>
      <c r="BF622" t="str">
        <f>HYPERLINK("http://dx.doi.org/10.1007/s00792-002-0276-5","http://dx.doi.org/10.1007/s00792-002-0276-5")</f>
        <v>http://dx.doi.org/10.1007/s00792-002-0276-5</v>
      </c>
      <c r="BG622" t="s">
        <v>74</v>
      </c>
      <c r="BH622" t="s">
        <v>74</v>
      </c>
      <c r="BI622">
        <v>6</v>
      </c>
      <c r="BJ622" t="s">
        <v>8756</v>
      </c>
      <c r="BK622" t="s">
        <v>569</v>
      </c>
      <c r="BL622" t="s">
        <v>8756</v>
      </c>
      <c r="BM622" t="s">
        <v>8757</v>
      </c>
      <c r="BN622">
        <v>12382121</v>
      </c>
      <c r="BO622" t="s">
        <v>590</v>
      </c>
      <c r="BP622" t="s">
        <v>74</v>
      </c>
      <c r="BQ622" t="s">
        <v>74</v>
      </c>
      <c r="BR622" t="s">
        <v>98</v>
      </c>
      <c r="BS622" t="s">
        <v>8782</v>
      </c>
      <c r="BT622" t="str">
        <f>HYPERLINK("https%3A%2F%2Fwww.webofscience.com%2Fwos%2Fwoscc%2Ffull-record%2FWOS:000178680700012","View Full Record in Web of Science")</f>
        <v>View Full Record in Web of Science</v>
      </c>
    </row>
    <row r="623" spans="1:72" x14ac:dyDescent="0.15">
      <c r="A623" t="s">
        <v>552</v>
      </c>
      <c r="B623" t="s">
        <v>8783</v>
      </c>
      <c r="C623" t="s">
        <v>74</v>
      </c>
      <c r="D623" t="s">
        <v>74</v>
      </c>
      <c r="E623" t="s">
        <v>74</v>
      </c>
      <c r="F623" t="s">
        <v>8783</v>
      </c>
      <c r="G623" t="s">
        <v>74</v>
      </c>
      <c r="H623" t="s">
        <v>74</v>
      </c>
      <c r="I623" t="s">
        <v>8784</v>
      </c>
      <c r="J623" t="s">
        <v>6138</v>
      </c>
      <c r="K623" t="s">
        <v>74</v>
      </c>
      <c r="L623" t="s">
        <v>74</v>
      </c>
      <c r="M623" t="s">
        <v>78</v>
      </c>
      <c r="N623" t="s">
        <v>775</v>
      </c>
      <c r="O623" t="s">
        <v>74</v>
      </c>
      <c r="P623" t="s">
        <v>74</v>
      </c>
      <c r="Q623" t="s">
        <v>74</v>
      </c>
      <c r="R623" t="s">
        <v>74</v>
      </c>
      <c r="S623" t="s">
        <v>74</v>
      </c>
      <c r="T623" t="s">
        <v>8785</v>
      </c>
      <c r="U623" t="s">
        <v>8786</v>
      </c>
      <c r="V623" t="s">
        <v>8787</v>
      </c>
      <c r="W623" t="s">
        <v>2710</v>
      </c>
      <c r="X623" t="s">
        <v>2711</v>
      </c>
      <c r="Y623" t="s">
        <v>8788</v>
      </c>
      <c r="Z623" t="s">
        <v>74</v>
      </c>
      <c r="AA623" t="s">
        <v>8789</v>
      </c>
      <c r="AB623" t="s">
        <v>8790</v>
      </c>
      <c r="AC623" t="s">
        <v>74</v>
      </c>
      <c r="AD623" t="s">
        <v>74</v>
      </c>
      <c r="AE623" t="s">
        <v>74</v>
      </c>
      <c r="AF623" t="s">
        <v>74</v>
      </c>
      <c r="AG623">
        <v>60</v>
      </c>
      <c r="AH623">
        <v>41</v>
      </c>
      <c r="AI623">
        <v>44</v>
      </c>
      <c r="AJ623">
        <v>0</v>
      </c>
      <c r="AK623">
        <v>14</v>
      </c>
      <c r="AL623" t="s">
        <v>2581</v>
      </c>
      <c r="AM623" t="s">
        <v>807</v>
      </c>
      <c r="AN623" t="s">
        <v>2582</v>
      </c>
      <c r="AO623" t="s">
        <v>6147</v>
      </c>
      <c r="AP623" t="s">
        <v>74</v>
      </c>
      <c r="AQ623" t="s">
        <v>74</v>
      </c>
      <c r="AR623" t="s">
        <v>6148</v>
      </c>
      <c r="AS623" t="s">
        <v>6149</v>
      </c>
      <c r="AT623" t="s">
        <v>8551</v>
      </c>
      <c r="AU623">
        <v>2002</v>
      </c>
      <c r="AV623">
        <v>16</v>
      </c>
      <c r="AW623">
        <v>5</v>
      </c>
      <c r="AX623" t="s">
        <v>74</v>
      </c>
      <c r="AY623" t="s">
        <v>74</v>
      </c>
      <c r="AZ623" t="s">
        <v>74</v>
      </c>
      <c r="BA623" t="s">
        <v>74</v>
      </c>
      <c r="BB623">
        <v>671</v>
      </c>
      <c r="BC623">
        <v>681</v>
      </c>
      <c r="BD623" t="s">
        <v>74</v>
      </c>
      <c r="BE623" t="s">
        <v>8791</v>
      </c>
      <c r="BF623" t="str">
        <f>HYPERLINK("http://dx.doi.org/10.1046/j.1365-2435.2002.00670.x","http://dx.doi.org/10.1046/j.1365-2435.2002.00670.x")</f>
        <v>http://dx.doi.org/10.1046/j.1365-2435.2002.00670.x</v>
      </c>
      <c r="BG623" t="s">
        <v>74</v>
      </c>
      <c r="BH623" t="s">
        <v>74</v>
      </c>
      <c r="BI623">
        <v>11</v>
      </c>
      <c r="BJ623" t="s">
        <v>5794</v>
      </c>
      <c r="BK623" t="s">
        <v>569</v>
      </c>
      <c r="BL623" t="s">
        <v>1195</v>
      </c>
      <c r="BM623" t="s">
        <v>8792</v>
      </c>
      <c r="BN623" t="s">
        <v>74</v>
      </c>
      <c r="BO623" t="s">
        <v>572</v>
      </c>
      <c r="BP623" t="s">
        <v>74</v>
      </c>
      <c r="BQ623" t="s">
        <v>74</v>
      </c>
      <c r="BR623" t="s">
        <v>98</v>
      </c>
      <c r="BS623" t="s">
        <v>8793</v>
      </c>
      <c r="BT623" t="str">
        <f>HYPERLINK("https%3A%2F%2Fwww.webofscience.com%2Fwos%2Fwoscc%2Ffull-record%2FWOS:000178119300015","View Full Record in Web of Science")</f>
        <v>View Full Record in Web of Science</v>
      </c>
    </row>
    <row r="624" spans="1:72" x14ac:dyDescent="0.15">
      <c r="A624" t="s">
        <v>552</v>
      </c>
      <c r="B624" t="s">
        <v>8794</v>
      </c>
      <c r="C624" t="s">
        <v>74</v>
      </c>
      <c r="D624" t="s">
        <v>74</v>
      </c>
      <c r="E624" t="s">
        <v>74</v>
      </c>
      <c r="F624" t="s">
        <v>8794</v>
      </c>
      <c r="G624" t="s">
        <v>74</v>
      </c>
      <c r="H624" t="s">
        <v>74</v>
      </c>
      <c r="I624" t="s">
        <v>8795</v>
      </c>
      <c r="J624" t="s">
        <v>8796</v>
      </c>
      <c r="K624" t="s">
        <v>74</v>
      </c>
      <c r="L624" t="s">
        <v>74</v>
      </c>
      <c r="M624" t="s">
        <v>78</v>
      </c>
      <c r="N624" t="s">
        <v>576</v>
      </c>
      <c r="O624" t="s">
        <v>8797</v>
      </c>
      <c r="P624" t="s">
        <v>8798</v>
      </c>
      <c r="Q624" t="s">
        <v>8799</v>
      </c>
      <c r="R624" t="s">
        <v>74</v>
      </c>
      <c r="S624" t="s">
        <v>74</v>
      </c>
      <c r="T624" t="s">
        <v>8800</v>
      </c>
      <c r="U624" t="s">
        <v>8801</v>
      </c>
      <c r="V624" t="s">
        <v>8802</v>
      </c>
      <c r="W624" t="s">
        <v>8803</v>
      </c>
      <c r="X624" t="s">
        <v>8804</v>
      </c>
      <c r="Y624" t="s">
        <v>8805</v>
      </c>
      <c r="Z624" t="s">
        <v>8806</v>
      </c>
      <c r="AA624" t="s">
        <v>8807</v>
      </c>
      <c r="AB624" t="s">
        <v>8808</v>
      </c>
      <c r="AC624" t="s">
        <v>74</v>
      </c>
      <c r="AD624" t="s">
        <v>74</v>
      </c>
      <c r="AE624" t="s">
        <v>74</v>
      </c>
      <c r="AF624" t="s">
        <v>74</v>
      </c>
      <c r="AG624">
        <v>56</v>
      </c>
      <c r="AH624">
        <v>4</v>
      </c>
      <c r="AI624">
        <v>7</v>
      </c>
      <c r="AJ624">
        <v>0</v>
      </c>
      <c r="AK624">
        <v>7</v>
      </c>
      <c r="AL624" t="s">
        <v>3155</v>
      </c>
      <c r="AM624" t="s">
        <v>1861</v>
      </c>
      <c r="AN624" t="s">
        <v>3156</v>
      </c>
      <c r="AO624" t="s">
        <v>8809</v>
      </c>
      <c r="AP624" t="s">
        <v>8810</v>
      </c>
      <c r="AQ624" t="s">
        <v>74</v>
      </c>
      <c r="AR624" t="s">
        <v>8796</v>
      </c>
      <c r="AS624" t="s">
        <v>8811</v>
      </c>
      <c r="AT624" t="s">
        <v>8812</v>
      </c>
      <c r="AU624">
        <v>2002</v>
      </c>
      <c r="AV624">
        <v>47</v>
      </c>
      <c r="AW624" t="s">
        <v>4572</v>
      </c>
      <c r="AX624" t="s">
        <v>74</v>
      </c>
      <c r="AY624" t="s">
        <v>74</v>
      </c>
      <c r="AZ624" t="s">
        <v>74</v>
      </c>
      <c r="BA624" t="s">
        <v>74</v>
      </c>
      <c r="BB624">
        <v>275</v>
      </c>
      <c r="BC624">
        <v>287</v>
      </c>
      <c r="BD624" t="s">
        <v>8813</v>
      </c>
      <c r="BE624" t="s">
        <v>8814</v>
      </c>
      <c r="BF624" t="str">
        <f>HYPERLINK("http://dx.doi.org/10.1016/S0169-555X(02)00093-4","http://dx.doi.org/10.1016/S0169-555X(02)00093-4")</f>
        <v>http://dx.doi.org/10.1016/S0169-555X(02)00093-4</v>
      </c>
      <c r="BG624" t="s">
        <v>74</v>
      </c>
      <c r="BH624" t="s">
        <v>74</v>
      </c>
      <c r="BI624">
        <v>13</v>
      </c>
      <c r="BJ624" t="s">
        <v>2348</v>
      </c>
      <c r="BK624" t="s">
        <v>605</v>
      </c>
      <c r="BL624" t="s">
        <v>2349</v>
      </c>
      <c r="BM624" t="s">
        <v>8815</v>
      </c>
      <c r="BN624" t="s">
        <v>74</v>
      </c>
      <c r="BO624" t="s">
        <v>74</v>
      </c>
      <c r="BP624" t="s">
        <v>74</v>
      </c>
      <c r="BQ624" t="s">
        <v>74</v>
      </c>
      <c r="BR624" t="s">
        <v>98</v>
      </c>
      <c r="BS624" t="s">
        <v>8816</v>
      </c>
      <c r="BT624" t="str">
        <f>HYPERLINK("https%3A%2F%2Fwww.webofscience.com%2Fwos%2Fwoscc%2Ffull-record%2FWOS:000178167200013","View Full Record in Web of Science")</f>
        <v>View Full Record in Web of Science</v>
      </c>
    </row>
    <row r="625" spans="1:72" x14ac:dyDescent="0.15">
      <c r="A625" t="s">
        <v>552</v>
      </c>
      <c r="B625" t="s">
        <v>8817</v>
      </c>
      <c r="C625" t="s">
        <v>74</v>
      </c>
      <c r="D625" t="s">
        <v>74</v>
      </c>
      <c r="E625" t="s">
        <v>74</v>
      </c>
      <c r="F625" t="s">
        <v>8817</v>
      </c>
      <c r="G625" t="s">
        <v>74</v>
      </c>
      <c r="H625" t="s">
        <v>74</v>
      </c>
      <c r="I625" t="s">
        <v>8818</v>
      </c>
      <c r="J625" t="s">
        <v>5162</v>
      </c>
      <c r="K625" t="s">
        <v>74</v>
      </c>
      <c r="L625" t="s">
        <v>74</v>
      </c>
      <c r="M625" t="s">
        <v>78</v>
      </c>
      <c r="N625" t="s">
        <v>775</v>
      </c>
      <c r="O625" t="s">
        <v>74</v>
      </c>
      <c r="P625" t="s">
        <v>74</v>
      </c>
      <c r="Q625" t="s">
        <v>74</v>
      </c>
      <c r="R625" t="s">
        <v>74</v>
      </c>
      <c r="S625" t="s">
        <v>74</v>
      </c>
      <c r="T625" t="s">
        <v>8819</v>
      </c>
      <c r="U625" t="s">
        <v>8820</v>
      </c>
      <c r="V625" t="s">
        <v>8821</v>
      </c>
      <c r="W625" t="s">
        <v>8822</v>
      </c>
      <c r="X625" t="s">
        <v>8823</v>
      </c>
      <c r="Y625" t="s">
        <v>8824</v>
      </c>
      <c r="Z625" t="s">
        <v>74</v>
      </c>
      <c r="AA625" t="s">
        <v>74</v>
      </c>
      <c r="AB625" t="s">
        <v>8825</v>
      </c>
      <c r="AC625" t="s">
        <v>74</v>
      </c>
      <c r="AD625" t="s">
        <v>74</v>
      </c>
      <c r="AE625" t="s">
        <v>74</v>
      </c>
      <c r="AF625" t="s">
        <v>74</v>
      </c>
      <c r="AG625">
        <v>22</v>
      </c>
      <c r="AH625">
        <v>54</v>
      </c>
      <c r="AI625">
        <v>61</v>
      </c>
      <c r="AJ625">
        <v>1</v>
      </c>
      <c r="AK625">
        <v>26</v>
      </c>
      <c r="AL625" t="s">
        <v>387</v>
      </c>
      <c r="AM625" t="s">
        <v>388</v>
      </c>
      <c r="AN625" t="s">
        <v>389</v>
      </c>
      <c r="AO625" t="s">
        <v>5169</v>
      </c>
      <c r="AP625" t="s">
        <v>74</v>
      </c>
      <c r="AQ625" t="s">
        <v>74</v>
      </c>
      <c r="AR625" t="s">
        <v>5171</v>
      </c>
      <c r="AS625" t="s">
        <v>5172</v>
      </c>
      <c r="AT625" t="s">
        <v>8812</v>
      </c>
      <c r="AU625">
        <v>2002</v>
      </c>
      <c r="AV625">
        <v>29</v>
      </c>
      <c r="AW625">
        <v>19</v>
      </c>
      <c r="AX625" t="s">
        <v>74</v>
      </c>
      <c r="AY625" t="s">
        <v>74</v>
      </c>
      <c r="AZ625" t="s">
        <v>74</v>
      </c>
      <c r="BA625" t="s">
        <v>74</v>
      </c>
      <c r="BB625" t="s">
        <v>74</v>
      </c>
      <c r="BC625" t="s">
        <v>74</v>
      </c>
      <c r="BD625">
        <v>1938</v>
      </c>
      <c r="BE625" t="s">
        <v>8826</v>
      </c>
      <c r="BF625" t="str">
        <f>HYPERLINK("http://dx.doi.org/10.1029/2002GL015277","http://dx.doi.org/10.1029/2002GL015277")</f>
        <v>http://dx.doi.org/10.1029/2002GL015277</v>
      </c>
      <c r="BG625" t="s">
        <v>74</v>
      </c>
      <c r="BH625" t="s">
        <v>74</v>
      </c>
      <c r="BI625">
        <v>4</v>
      </c>
      <c r="BJ625" t="s">
        <v>1813</v>
      </c>
      <c r="BK625" t="s">
        <v>569</v>
      </c>
      <c r="BL625" t="s">
        <v>1814</v>
      </c>
      <c r="BM625" t="s">
        <v>8827</v>
      </c>
      <c r="BN625" t="s">
        <v>74</v>
      </c>
      <c r="BO625" t="s">
        <v>74</v>
      </c>
      <c r="BP625" t="s">
        <v>74</v>
      </c>
      <c r="BQ625" t="s">
        <v>74</v>
      </c>
      <c r="BR625" t="s">
        <v>98</v>
      </c>
      <c r="BS625" t="s">
        <v>8828</v>
      </c>
      <c r="BT625" t="str">
        <f>HYPERLINK("https%3A%2F%2Fwww.webofscience.com%2Fwos%2Fwoscc%2Ffull-record%2FWOS:000180603500044","View Full Record in Web of Science")</f>
        <v>View Full Record in Web of Science</v>
      </c>
    </row>
    <row r="626" spans="1:72" x14ac:dyDescent="0.15">
      <c r="A626" t="s">
        <v>552</v>
      </c>
      <c r="B626" t="s">
        <v>8829</v>
      </c>
      <c r="C626" t="s">
        <v>74</v>
      </c>
      <c r="D626" t="s">
        <v>74</v>
      </c>
      <c r="E626" t="s">
        <v>74</v>
      </c>
      <c r="F626" t="s">
        <v>8829</v>
      </c>
      <c r="G626" t="s">
        <v>74</v>
      </c>
      <c r="H626" t="s">
        <v>74</v>
      </c>
      <c r="I626" t="s">
        <v>8830</v>
      </c>
      <c r="J626" t="s">
        <v>5162</v>
      </c>
      <c r="K626" t="s">
        <v>74</v>
      </c>
      <c r="L626" t="s">
        <v>74</v>
      </c>
      <c r="M626" t="s">
        <v>78</v>
      </c>
      <c r="N626" t="s">
        <v>775</v>
      </c>
      <c r="O626" t="s">
        <v>74</v>
      </c>
      <c r="P626" t="s">
        <v>74</v>
      </c>
      <c r="Q626" t="s">
        <v>74</v>
      </c>
      <c r="R626" t="s">
        <v>74</v>
      </c>
      <c r="S626" t="s">
        <v>74</v>
      </c>
      <c r="T626" t="s">
        <v>74</v>
      </c>
      <c r="U626" t="s">
        <v>8831</v>
      </c>
      <c r="V626" t="s">
        <v>8832</v>
      </c>
      <c r="W626" t="s">
        <v>8833</v>
      </c>
      <c r="X626" t="s">
        <v>8834</v>
      </c>
      <c r="Y626" t="s">
        <v>8835</v>
      </c>
      <c r="Z626" t="s">
        <v>74</v>
      </c>
      <c r="AA626" t="s">
        <v>8836</v>
      </c>
      <c r="AB626" t="s">
        <v>8837</v>
      </c>
      <c r="AC626" t="s">
        <v>74</v>
      </c>
      <c r="AD626" t="s">
        <v>74</v>
      </c>
      <c r="AE626" t="s">
        <v>74</v>
      </c>
      <c r="AF626" t="s">
        <v>74</v>
      </c>
      <c r="AG626">
        <v>18</v>
      </c>
      <c r="AH626">
        <v>18</v>
      </c>
      <c r="AI626">
        <v>19</v>
      </c>
      <c r="AJ626">
        <v>0</v>
      </c>
      <c r="AK626">
        <v>0</v>
      </c>
      <c r="AL626" t="s">
        <v>387</v>
      </c>
      <c r="AM626" t="s">
        <v>388</v>
      </c>
      <c r="AN626" t="s">
        <v>389</v>
      </c>
      <c r="AO626" t="s">
        <v>5169</v>
      </c>
      <c r="AP626" t="s">
        <v>74</v>
      </c>
      <c r="AQ626" t="s">
        <v>74</v>
      </c>
      <c r="AR626" t="s">
        <v>5171</v>
      </c>
      <c r="AS626" t="s">
        <v>5172</v>
      </c>
      <c r="AT626" t="s">
        <v>8812</v>
      </c>
      <c r="AU626">
        <v>2002</v>
      </c>
      <c r="AV626">
        <v>29</v>
      </c>
      <c r="AW626">
        <v>19</v>
      </c>
      <c r="AX626" t="s">
        <v>74</v>
      </c>
      <c r="AY626" t="s">
        <v>74</v>
      </c>
      <c r="AZ626" t="s">
        <v>74</v>
      </c>
      <c r="BA626" t="s">
        <v>74</v>
      </c>
      <c r="BB626" t="s">
        <v>74</v>
      </c>
      <c r="BC626" t="s">
        <v>74</v>
      </c>
      <c r="BD626">
        <v>1924</v>
      </c>
      <c r="BE626" t="s">
        <v>8838</v>
      </c>
      <c r="BF626" t="str">
        <f>HYPERLINK("http://dx.doi.org/10.1029/2002GL015795","http://dx.doi.org/10.1029/2002GL015795")</f>
        <v>http://dx.doi.org/10.1029/2002GL015795</v>
      </c>
      <c r="BG626" t="s">
        <v>74</v>
      </c>
      <c r="BH626" t="s">
        <v>74</v>
      </c>
      <c r="BI626">
        <v>4</v>
      </c>
      <c r="BJ626" t="s">
        <v>1813</v>
      </c>
      <c r="BK626" t="s">
        <v>569</v>
      </c>
      <c r="BL626" t="s">
        <v>1814</v>
      </c>
      <c r="BM626" t="s">
        <v>8827</v>
      </c>
      <c r="BN626" t="s">
        <v>74</v>
      </c>
      <c r="BO626" t="s">
        <v>572</v>
      </c>
      <c r="BP626" t="s">
        <v>74</v>
      </c>
      <c r="BQ626" t="s">
        <v>74</v>
      </c>
      <c r="BR626" t="s">
        <v>98</v>
      </c>
      <c r="BS626" t="s">
        <v>8839</v>
      </c>
      <c r="BT626" t="str">
        <f>HYPERLINK("https%3A%2F%2Fwww.webofscience.com%2Fwos%2Fwoscc%2Ffull-record%2FWOS:000180603500030","View Full Record in Web of Science")</f>
        <v>View Full Record in Web of Science</v>
      </c>
    </row>
    <row r="627" spans="1:72" x14ac:dyDescent="0.15">
      <c r="A627" t="s">
        <v>552</v>
      </c>
      <c r="B627" t="s">
        <v>8840</v>
      </c>
      <c r="C627" t="s">
        <v>74</v>
      </c>
      <c r="D627" t="s">
        <v>74</v>
      </c>
      <c r="E627" t="s">
        <v>74</v>
      </c>
      <c r="F627" t="s">
        <v>8840</v>
      </c>
      <c r="G627" t="s">
        <v>74</v>
      </c>
      <c r="H627" t="s">
        <v>74</v>
      </c>
      <c r="I627" t="s">
        <v>8841</v>
      </c>
      <c r="J627" t="s">
        <v>8842</v>
      </c>
      <c r="K627" t="s">
        <v>74</v>
      </c>
      <c r="L627" t="s">
        <v>74</v>
      </c>
      <c r="M627" t="s">
        <v>78</v>
      </c>
      <c r="N627" t="s">
        <v>775</v>
      </c>
      <c r="O627" t="s">
        <v>74</v>
      </c>
      <c r="P627" t="s">
        <v>74</v>
      </c>
      <c r="Q627" t="s">
        <v>74</v>
      </c>
      <c r="R627" t="s">
        <v>74</v>
      </c>
      <c r="S627" t="s">
        <v>74</v>
      </c>
      <c r="T627" t="s">
        <v>8843</v>
      </c>
      <c r="U627" t="s">
        <v>8844</v>
      </c>
      <c r="V627" t="s">
        <v>8845</v>
      </c>
      <c r="W627" t="s">
        <v>8846</v>
      </c>
      <c r="X627" t="s">
        <v>8847</v>
      </c>
      <c r="Y627" t="s">
        <v>8848</v>
      </c>
      <c r="Z627" t="s">
        <v>8849</v>
      </c>
      <c r="AA627" t="s">
        <v>8850</v>
      </c>
      <c r="AB627" t="s">
        <v>8851</v>
      </c>
      <c r="AC627" t="s">
        <v>74</v>
      </c>
      <c r="AD627" t="s">
        <v>74</v>
      </c>
      <c r="AE627" t="s">
        <v>74</v>
      </c>
      <c r="AF627" t="s">
        <v>74</v>
      </c>
      <c r="AG627">
        <v>63</v>
      </c>
      <c r="AH627">
        <v>165</v>
      </c>
      <c r="AI627">
        <v>185</v>
      </c>
      <c r="AJ627">
        <v>2</v>
      </c>
      <c r="AK627">
        <v>48</v>
      </c>
      <c r="AL627" t="s">
        <v>387</v>
      </c>
      <c r="AM627" t="s">
        <v>388</v>
      </c>
      <c r="AN627" t="s">
        <v>389</v>
      </c>
      <c r="AO627" t="s">
        <v>8852</v>
      </c>
      <c r="AP627" t="s">
        <v>8853</v>
      </c>
      <c r="AQ627" t="s">
        <v>74</v>
      </c>
      <c r="AR627" t="s">
        <v>8854</v>
      </c>
      <c r="AS627" t="s">
        <v>8855</v>
      </c>
      <c r="AT627" t="s">
        <v>8856</v>
      </c>
      <c r="AU627">
        <v>2002</v>
      </c>
      <c r="AV627">
        <v>16</v>
      </c>
      <c r="AW627">
        <v>4</v>
      </c>
      <c r="AX627" t="s">
        <v>74</v>
      </c>
      <c r="AY627" t="s">
        <v>74</v>
      </c>
      <c r="AZ627" t="s">
        <v>74</v>
      </c>
      <c r="BA627" t="s">
        <v>74</v>
      </c>
      <c r="BB627" t="s">
        <v>74</v>
      </c>
      <c r="BC627" t="s">
        <v>74</v>
      </c>
      <c r="BD627">
        <v>1098</v>
      </c>
      <c r="BE627" t="s">
        <v>8857</v>
      </c>
      <c r="BF627" t="str">
        <f>HYPERLINK("http://dx.doi.org/10.1029/2001GB001849","http://dx.doi.org/10.1029/2001GB001849")</f>
        <v>http://dx.doi.org/10.1029/2001GB001849</v>
      </c>
      <c r="BG627" t="s">
        <v>74</v>
      </c>
      <c r="BH627" t="s">
        <v>74</v>
      </c>
      <c r="BI627">
        <v>14</v>
      </c>
      <c r="BJ627" t="s">
        <v>8858</v>
      </c>
      <c r="BK627" t="s">
        <v>569</v>
      </c>
      <c r="BL627" t="s">
        <v>8859</v>
      </c>
      <c r="BM627" t="s">
        <v>8860</v>
      </c>
      <c r="BN627" t="s">
        <v>74</v>
      </c>
      <c r="BO627" t="s">
        <v>794</v>
      </c>
      <c r="BP627" t="s">
        <v>74</v>
      </c>
      <c r="BQ627" t="s">
        <v>74</v>
      </c>
      <c r="BR627" t="s">
        <v>98</v>
      </c>
      <c r="BS627" t="s">
        <v>8861</v>
      </c>
      <c r="BT627" t="str">
        <f>HYPERLINK("https%3A%2F%2Fwww.webofscience.com%2Fwos%2Fwoscc%2Ffull-record%2FWOS:000180874100045","View Full Record in Web of Science")</f>
        <v>View Full Record in Web of Science</v>
      </c>
    </row>
    <row r="628" spans="1:72" x14ac:dyDescent="0.15">
      <c r="A628" t="s">
        <v>552</v>
      </c>
      <c r="B628" t="s">
        <v>8862</v>
      </c>
      <c r="C628" t="s">
        <v>74</v>
      </c>
      <c r="D628" t="s">
        <v>74</v>
      </c>
      <c r="E628" t="s">
        <v>74</v>
      </c>
      <c r="F628" t="s">
        <v>8862</v>
      </c>
      <c r="G628" t="s">
        <v>74</v>
      </c>
      <c r="H628" t="s">
        <v>74</v>
      </c>
      <c r="I628" t="s">
        <v>8863</v>
      </c>
      <c r="J628" t="s">
        <v>7564</v>
      </c>
      <c r="K628" t="s">
        <v>74</v>
      </c>
      <c r="L628" t="s">
        <v>74</v>
      </c>
      <c r="M628" t="s">
        <v>78</v>
      </c>
      <c r="N628" t="s">
        <v>775</v>
      </c>
      <c r="O628" t="s">
        <v>74</v>
      </c>
      <c r="P628" t="s">
        <v>74</v>
      </c>
      <c r="Q628" t="s">
        <v>74</v>
      </c>
      <c r="R628" t="s">
        <v>74</v>
      </c>
      <c r="S628" t="s">
        <v>74</v>
      </c>
      <c r="T628" t="s">
        <v>8864</v>
      </c>
      <c r="U628" t="s">
        <v>8865</v>
      </c>
      <c r="V628" t="s">
        <v>8866</v>
      </c>
      <c r="W628" t="s">
        <v>238</v>
      </c>
      <c r="X628" t="s">
        <v>239</v>
      </c>
      <c r="Y628" t="s">
        <v>8867</v>
      </c>
      <c r="Z628" t="s">
        <v>74</v>
      </c>
      <c r="AA628" t="s">
        <v>8868</v>
      </c>
      <c r="AB628" t="s">
        <v>8869</v>
      </c>
      <c r="AC628" t="s">
        <v>74</v>
      </c>
      <c r="AD628" t="s">
        <v>74</v>
      </c>
      <c r="AE628" t="s">
        <v>74</v>
      </c>
      <c r="AF628" t="s">
        <v>74</v>
      </c>
      <c r="AG628">
        <v>41</v>
      </c>
      <c r="AH628">
        <v>83</v>
      </c>
      <c r="AI628">
        <v>89</v>
      </c>
      <c r="AJ628">
        <v>0</v>
      </c>
      <c r="AK628">
        <v>15</v>
      </c>
      <c r="AL628" t="s">
        <v>2581</v>
      </c>
      <c r="AM628" t="s">
        <v>807</v>
      </c>
      <c r="AN628" t="s">
        <v>2582</v>
      </c>
      <c r="AO628" t="s">
        <v>7573</v>
      </c>
      <c r="AP628" t="s">
        <v>74</v>
      </c>
      <c r="AQ628" t="s">
        <v>74</v>
      </c>
      <c r="AR628" t="s">
        <v>7574</v>
      </c>
      <c r="AS628" t="s">
        <v>7575</v>
      </c>
      <c r="AT628" t="s">
        <v>8551</v>
      </c>
      <c r="AU628">
        <v>2002</v>
      </c>
      <c r="AV628">
        <v>8</v>
      </c>
      <c r="AW628">
        <v>10</v>
      </c>
      <c r="AX628" t="s">
        <v>74</v>
      </c>
      <c r="AY628" t="s">
        <v>74</v>
      </c>
      <c r="AZ628" t="s">
        <v>74</v>
      </c>
      <c r="BA628" t="s">
        <v>74</v>
      </c>
      <c r="BB628">
        <v>972</v>
      </c>
      <c r="BC628">
        <v>983</v>
      </c>
      <c r="BD628" t="s">
        <v>74</v>
      </c>
      <c r="BE628" t="s">
        <v>8870</v>
      </c>
      <c r="BF628" t="str">
        <f>HYPERLINK("http://dx.doi.org/10.1046/j.1365-2486.2002.00509.x","http://dx.doi.org/10.1046/j.1365-2486.2002.00509.x")</f>
        <v>http://dx.doi.org/10.1046/j.1365-2486.2002.00509.x</v>
      </c>
      <c r="BG628" t="s">
        <v>74</v>
      </c>
      <c r="BH628" t="s">
        <v>74</v>
      </c>
      <c r="BI628">
        <v>12</v>
      </c>
      <c r="BJ628" t="s">
        <v>7577</v>
      </c>
      <c r="BK628" t="s">
        <v>569</v>
      </c>
      <c r="BL628" t="s">
        <v>4440</v>
      </c>
      <c r="BM628" t="s">
        <v>8871</v>
      </c>
      <c r="BN628" t="s">
        <v>74</v>
      </c>
      <c r="BO628" t="s">
        <v>74</v>
      </c>
      <c r="BP628" t="s">
        <v>74</v>
      </c>
      <c r="BQ628" t="s">
        <v>74</v>
      </c>
      <c r="BR628" t="s">
        <v>98</v>
      </c>
      <c r="BS628" t="s">
        <v>8872</v>
      </c>
      <c r="BT628" t="str">
        <f>HYPERLINK("https%3A%2F%2Fwww.webofscience.com%2Fwos%2Fwoscc%2Ffull-record%2FWOS:000177853000004","View Full Record in Web of Science")</f>
        <v>View Full Record in Web of Science</v>
      </c>
    </row>
    <row r="629" spans="1:72" x14ac:dyDescent="0.15">
      <c r="A629" t="s">
        <v>552</v>
      </c>
      <c r="B629" t="s">
        <v>8873</v>
      </c>
      <c r="C629" t="s">
        <v>74</v>
      </c>
      <c r="D629" t="s">
        <v>74</v>
      </c>
      <c r="E629" t="s">
        <v>74</v>
      </c>
      <c r="F629" t="s">
        <v>8873</v>
      </c>
      <c r="G629" t="s">
        <v>74</v>
      </c>
      <c r="H629" t="s">
        <v>74</v>
      </c>
      <c r="I629" t="s">
        <v>8874</v>
      </c>
      <c r="J629" t="s">
        <v>8875</v>
      </c>
      <c r="K629" t="s">
        <v>74</v>
      </c>
      <c r="L629" t="s">
        <v>74</v>
      </c>
      <c r="M629" t="s">
        <v>78</v>
      </c>
      <c r="N629" t="s">
        <v>576</v>
      </c>
      <c r="O629" t="s">
        <v>8876</v>
      </c>
      <c r="P629" t="s">
        <v>8877</v>
      </c>
      <c r="Q629" t="s">
        <v>8878</v>
      </c>
      <c r="R629" t="s">
        <v>74</v>
      </c>
      <c r="S629" t="s">
        <v>74</v>
      </c>
      <c r="T629" t="s">
        <v>8879</v>
      </c>
      <c r="U629" t="s">
        <v>8880</v>
      </c>
      <c r="V629" t="s">
        <v>8881</v>
      </c>
      <c r="W629" t="s">
        <v>8882</v>
      </c>
      <c r="X629" t="s">
        <v>8883</v>
      </c>
      <c r="Y629" t="s">
        <v>8884</v>
      </c>
      <c r="Z629" t="s">
        <v>74</v>
      </c>
      <c r="AA629" t="s">
        <v>74</v>
      </c>
      <c r="AB629" t="s">
        <v>74</v>
      </c>
      <c r="AC629" t="s">
        <v>74</v>
      </c>
      <c r="AD629" t="s">
        <v>74</v>
      </c>
      <c r="AE629" t="s">
        <v>74</v>
      </c>
      <c r="AF629" t="s">
        <v>74</v>
      </c>
      <c r="AG629">
        <v>38</v>
      </c>
      <c r="AH629">
        <v>28</v>
      </c>
      <c r="AI629">
        <v>28</v>
      </c>
      <c r="AJ629">
        <v>0</v>
      </c>
      <c r="AK629">
        <v>2</v>
      </c>
      <c r="AL629" t="s">
        <v>1860</v>
      </c>
      <c r="AM629" t="s">
        <v>1861</v>
      </c>
      <c r="AN629" t="s">
        <v>1862</v>
      </c>
      <c r="AO629" t="s">
        <v>8885</v>
      </c>
      <c r="AP629" t="s">
        <v>74</v>
      </c>
      <c r="AQ629" t="s">
        <v>74</v>
      </c>
      <c r="AR629" t="s">
        <v>8886</v>
      </c>
      <c r="AS629" t="s">
        <v>8887</v>
      </c>
      <c r="AT629" t="s">
        <v>8551</v>
      </c>
      <c r="AU629">
        <v>2002</v>
      </c>
      <c r="AV629">
        <v>5</v>
      </c>
      <c r="AW629">
        <v>4</v>
      </c>
      <c r="AX629" t="s">
        <v>74</v>
      </c>
      <c r="AY629" t="s">
        <v>74</v>
      </c>
      <c r="AZ629" t="s">
        <v>74</v>
      </c>
      <c r="BA629" t="s">
        <v>74</v>
      </c>
      <c r="BB629">
        <v>741</v>
      </c>
      <c r="BC629">
        <v>747</v>
      </c>
      <c r="BD629" t="s">
        <v>74</v>
      </c>
      <c r="BE629" t="s">
        <v>8888</v>
      </c>
      <c r="BF629" t="str">
        <f>HYPERLINK("http://dx.doi.org/10.1016/S1342-937X(05)70909-6","http://dx.doi.org/10.1016/S1342-937X(05)70909-6")</f>
        <v>http://dx.doi.org/10.1016/S1342-937X(05)70909-6</v>
      </c>
      <c r="BG629" t="s">
        <v>74</v>
      </c>
      <c r="BH629" t="s">
        <v>74</v>
      </c>
      <c r="BI629">
        <v>7</v>
      </c>
      <c r="BJ629" t="s">
        <v>1813</v>
      </c>
      <c r="BK629" t="s">
        <v>605</v>
      </c>
      <c r="BL629" t="s">
        <v>1814</v>
      </c>
      <c r="BM629" t="s">
        <v>8889</v>
      </c>
      <c r="BN629" t="s">
        <v>74</v>
      </c>
      <c r="BO629" t="s">
        <v>74</v>
      </c>
      <c r="BP629" t="s">
        <v>74</v>
      </c>
      <c r="BQ629" t="s">
        <v>74</v>
      </c>
      <c r="BR629" t="s">
        <v>98</v>
      </c>
      <c r="BS629" t="s">
        <v>8890</v>
      </c>
      <c r="BT629" t="str">
        <f>HYPERLINK("https%3A%2F%2Fwww.webofscience.com%2Fwos%2Fwoscc%2Ffull-record%2FWOS:000178501600002","View Full Record in Web of Science")</f>
        <v>View Full Record in Web of Science</v>
      </c>
    </row>
    <row r="630" spans="1:72" x14ac:dyDescent="0.15">
      <c r="A630" t="s">
        <v>552</v>
      </c>
      <c r="B630" t="s">
        <v>8891</v>
      </c>
      <c r="C630" t="s">
        <v>74</v>
      </c>
      <c r="D630" t="s">
        <v>74</v>
      </c>
      <c r="E630" t="s">
        <v>74</v>
      </c>
      <c r="F630" t="s">
        <v>8891</v>
      </c>
      <c r="G630" t="s">
        <v>74</v>
      </c>
      <c r="H630" t="s">
        <v>74</v>
      </c>
      <c r="I630" t="s">
        <v>8892</v>
      </c>
      <c r="J630" t="s">
        <v>7582</v>
      </c>
      <c r="K630" t="s">
        <v>74</v>
      </c>
      <c r="L630" t="s">
        <v>74</v>
      </c>
      <c r="M630" t="s">
        <v>78</v>
      </c>
      <c r="N630" t="s">
        <v>576</v>
      </c>
      <c r="O630" t="s">
        <v>8893</v>
      </c>
      <c r="P630" t="s">
        <v>8894</v>
      </c>
      <c r="Q630" t="s">
        <v>849</v>
      </c>
      <c r="R630" t="s">
        <v>74</v>
      </c>
      <c r="S630" t="s">
        <v>74</v>
      </c>
      <c r="T630" t="s">
        <v>8895</v>
      </c>
      <c r="U630" t="s">
        <v>8896</v>
      </c>
      <c r="V630" t="s">
        <v>8897</v>
      </c>
      <c r="W630" t="s">
        <v>8898</v>
      </c>
      <c r="X630" t="s">
        <v>8899</v>
      </c>
      <c r="Y630" t="s">
        <v>8900</v>
      </c>
      <c r="Z630" t="s">
        <v>8901</v>
      </c>
      <c r="AA630" t="s">
        <v>8902</v>
      </c>
      <c r="AB630" t="s">
        <v>8903</v>
      </c>
      <c r="AC630" t="s">
        <v>74</v>
      </c>
      <c r="AD630" t="s">
        <v>74</v>
      </c>
      <c r="AE630" t="s">
        <v>74</v>
      </c>
      <c r="AF630" t="s">
        <v>74</v>
      </c>
      <c r="AG630">
        <v>25</v>
      </c>
      <c r="AH630">
        <v>35</v>
      </c>
      <c r="AI630">
        <v>44</v>
      </c>
      <c r="AJ630">
        <v>2</v>
      </c>
      <c r="AK630">
        <v>10</v>
      </c>
      <c r="AL630" t="s">
        <v>7590</v>
      </c>
      <c r="AM630" t="s">
        <v>8904</v>
      </c>
      <c r="AN630" t="s">
        <v>8905</v>
      </c>
      <c r="AO630" t="s">
        <v>7592</v>
      </c>
      <c r="AP630" t="s">
        <v>8906</v>
      </c>
      <c r="AQ630" t="s">
        <v>74</v>
      </c>
      <c r="AR630" t="s">
        <v>7593</v>
      </c>
      <c r="AS630" t="s">
        <v>7594</v>
      </c>
      <c r="AT630" t="s">
        <v>8551</v>
      </c>
      <c r="AU630">
        <v>2002</v>
      </c>
      <c r="AV630">
        <v>40</v>
      </c>
      <c r="AW630">
        <v>10</v>
      </c>
      <c r="AX630" t="s">
        <v>74</v>
      </c>
      <c r="AY630" t="s">
        <v>74</v>
      </c>
      <c r="AZ630" t="s">
        <v>74</v>
      </c>
      <c r="BA630" t="s">
        <v>74</v>
      </c>
      <c r="BB630">
        <v>2162</v>
      </c>
      <c r="BC630">
        <v>2169</v>
      </c>
      <c r="BD630" t="s">
        <v>74</v>
      </c>
      <c r="BE630" t="s">
        <v>8907</v>
      </c>
      <c r="BF630" t="str">
        <f>HYPERLINK("http://dx.doi.org/10.1109/TGRS.2002.802463","http://dx.doi.org/10.1109/TGRS.2002.802463")</f>
        <v>http://dx.doi.org/10.1109/TGRS.2002.802463</v>
      </c>
      <c r="BG630" t="s">
        <v>74</v>
      </c>
      <c r="BH630" t="s">
        <v>74</v>
      </c>
      <c r="BI630">
        <v>8</v>
      </c>
      <c r="BJ630" t="s">
        <v>7596</v>
      </c>
      <c r="BK630" t="s">
        <v>605</v>
      </c>
      <c r="BL630" t="s">
        <v>7597</v>
      </c>
      <c r="BM630" t="s">
        <v>8908</v>
      </c>
      <c r="BN630" t="s">
        <v>74</v>
      </c>
      <c r="BO630" t="s">
        <v>74</v>
      </c>
      <c r="BP630" t="s">
        <v>74</v>
      </c>
      <c r="BQ630" t="s">
        <v>74</v>
      </c>
      <c r="BR630" t="s">
        <v>98</v>
      </c>
      <c r="BS630" t="s">
        <v>8909</v>
      </c>
      <c r="BT630" t="str">
        <f>HYPERLINK("https%3A%2F%2Fwww.webofscience.com%2Fwos%2Fwoscc%2Ffull-record%2FWOS:000179798500007","View Full Record in Web of Science")</f>
        <v>View Full Record in Web of Science</v>
      </c>
    </row>
    <row r="631" spans="1:72" x14ac:dyDescent="0.15">
      <c r="A631" t="s">
        <v>552</v>
      </c>
      <c r="B631" t="s">
        <v>8910</v>
      </c>
      <c r="C631" t="s">
        <v>74</v>
      </c>
      <c r="D631" t="s">
        <v>74</v>
      </c>
      <c r="E631" t="s">
        <v>74</v>
      </c>
      <c r="F631" t="s">
        <v>8910</v>
      </c>
      <c r="G631" t="s">
        <v>74</v>
      </c>
      <c r="H631" t="s">
        <v>74</v>
      </c>
      <c r="I631" t="s">
        <v>8911</v>
      </c>
      <c r="J631" t="s">
        <v>8912</v>
      </c>
      <c r="K631" t="s">
        <v>74</v>
      </c>
      <c r="L631" t="s">
        <v>74</v>
      </c>
      <c r="M631" t="s">
        <v>78</v>
      </c>
      <c r="N631" t="s">
        <v>1114</v>
      </c>
      <c r="O631" t="s">
        <v>74</v>
      </c>
      <c r="P631" t="s">
        <v>74</v>
      </c>
      <c r="Q631" t="s">
        <v>74</v>
      </c>
      <c r="R631" t="s">
        <v>74</v>
      </c>
      <c r="S631" t="s">
        <v>74</v>
      </c>
      <c r="T631" t="s">
        <v>74</v>
      </c>
      <c r="U631" t="s">
        <v>8913</v>
      </c>
      <c r="V631" t="s">
        <v>8914</v>
      </c>
      <c r="W631" t="s">
        <v>8915</v>
      </c>
      <c r="X631" t="s">
        <v>8916</v>
      </c>
      <c r="Y631" t="s">
        <v>8917</v>
      </c>
      <c r="Z631" t="s">
        <v>74</v>
      </c>
      <c r="AA631" t="s">
        <v>74</v>
      </c>
      <c r="AB631" t="s">
        <v>74</v>
      </c>
      <c r="AC631" t="s">
        <v>74</v>
      </c>
      <c r="AD631" t="s">
        <v>74</v>
      </c>
      <c r="AE631" t="s">
        <v>74</v>
      </c>
      <c r="AF631" t="s">
        <v>74</v>
      </c>
      <c r="AG631">
        <v>126</v>
      </c>
      <c r="AH631">
        <v>6</v>
      </c>
      <c r="AI631">
        <v>6</v>
      </c>
      <c r="AJ631">
        <v>0</v>
      </c>
      <c r="AK631">
        <v>13</v>
      </c>
      <c r="AL631" t="s">
        <v>8918</v>
      </c>
      <c r="AM631" t="s">
        <v>8919</v>
      </c>
      <c r="AN631" t="s">
        <v>8920</v>
      </c>
      <c r="AO631" t="s">
        <v>8921</v>
      </c>
      <c r="AP631" t="s">
        <v>74</v>
      </c>
      <c r="AQ631" t="s">
        <v>74</v>
      </c>
      <c r="AR631" t="s">
        <v>8922</v>
      </c>
      <c r="AS631" t="s">
        <v>8923</v>
      </c>
      <c r="AT631" t="s">
        <v>8551</v>
      </c>
      <c r="AU631">
        <v>2002</v>
      </c>
      <c r="AV631">
        <v>44</v>
      </c>
      <c r="AW631">
        <v>10</v>
      </c>
      <c r="AX631" t="s">
        <v>74</v>
      </c>
      <c r="AY631" t="s">
        <v>74</v>
      </c>
      <c r="AZ631" t="s">
        <v>74</v>
      </c>
      <c r="BA631" t="s">
        <v>74</v>
      </c>
      <c r="BB631">
        <v>877</v>
      </c>
      <c r="BC631">
        <v>912</v>
      </c>
      <c r="BD631" t="s">
        <v>74</v>
      </c>
      <c r="BE631" t="s">
        <v>8924</v>
      </c>
      <c r="BF631" t="str">
        <f>HYPERLINK("http://dx.doi.org/10.2747/0020-6814.44.10.877","http://dx.doi.org/10.2747/0020-6814.44.10.877")</f>
        <v>http://dx.doi.org/10.2747/0020-6814.44.10.877</v>
      </c>
      <c r="BG631" t="s">
        <v>74</v>
      </c>
      <c r="BH631" t="s">
        <v>74</v>
      </c>
      <c r="BI631">
        <v>36</v>
      </c>
      <c r="BJ631" t="s">
        <v>1814</v>
      </c>
      <c r="BK631" t="s">
        <v>569</v>
      </c>
      <c r="BL631" t="s">
        <v>1814</v>
      </c>
      <c r="BM631" t="s">
        <v>8925</v>
      </c>
      <c r="BN631" t="s">
        <v>74</v>
      </c>
      <c r="BO631" t="s">
        <v>74</v>
      </c>
      <c r="BP631" t="s">
        <v>74</v>
      </c>
      <c r="BQ631" t="s">
        <v>74</v>
      </c>
      <c r="BR631" t="s">
        <v>98</v>
      </c>
      <c r="BS631" t="s">
        <v>8926</v>
      </c>
      <c r="BT631" t="str">
        <f>HYPERLINK("https%3A%2F%2Fwww.webofscience.com%2Fwos%2Fwoscc%2Ffull-record%2FWOS:000180331600001","View Full Record in Web of Science")</f>
        <v>View Full Record in Web of Science</v>
      </c>
    </row>
    <row r="632" spans="1:72" x14ac:dyDescent="0.15">
      <c r="A632" t="s">
        <v>552</v>
      </c>
      <c r="B632" t="s">
        <v>8927</v>
      </c>
      <c r="C632" t="s">
        <v>74</v>
      </c>
      <c r="D632" t="s">
        <v>74</v>
      </c>
      <c r="E632" t="s">
        <v>74</v>
      </c>
      <c r="F632" t="s">
        <v>8927</v>
      </c>
      <c r="G632" t="s">
        <v>74</v>
      </c>
      <c r="H632" t="s">
        <v>74</v>
      </c>
      <c r="I632" t="s">
        <v>8928</v>
      </c>
      <c r="J632" t="s">
        <v>8929</v>
      </c>
      <c r="K632" t="s">
        <v>74</v>
      </c>
      <c r="L632" t="s">
        <v>74</v>
      </c>
      <c r="M632" t="s">
        <v>78</v>
      </c>
      <c r="N632" t="s">
        <v>775</v>
      </c>
      <c r="O632" t="s">
        <v>74</v>
      </c>
      <c r="P632" t="s">
        <v>74</v>
      </c>
      <c r="Q632" t="s">
        <v>74</v>
      </c>
      <c r="R632" t="s">
        <v>74</v>
      </c>
      <c r="S632" t="s">
        <v>74</v>
      </c>
      <c r="T632" t="s">
        <v>8930</v>
      </c>
      <c r="U632" t="s">
        <v>8931</v>
      </c>
      <c r="V632" t="s">
        <v>8932</v>
      </c>
      <c r="W632" t="s">
        <v>238</v>
      </c>
      <c r="X632" t="s">
        <v>239</v>
      </c>
      <c r="Y632" t="s">
        <v>8933</v>
      </c>
      <c r="Z632" t="s">
        <v>74</v>
      </c>
      <c r="AA632" t="s">
        <v>74</v>
      </c>
      <c r="AB632" t="s">
        <v>74</v>
      </c>
      <c r="AC632" t="s">
        <v>74</v>
      </c>
      <c r="AD632" t="s">
        <v>74</v>
      </c>
      <c r="AE632" t="s">
        <v>74</v>
      </c>
      <c r="AF632" t="s">
        <v>74</v>
      </c>
      <c r="AG632">
        <v>25</v>
      </c>
      <c r="AH632">
        <v>30</v>
      </c>
      <c r="AI632">
        <v>31</v>
      </c>
      <c r="AJ632">
        <v>1</v>
      </c>
      <c r="AK632">
        <v>2</v>
      </c>
      <c r="AL632" t="s">
        <v>2990</v>
      </c>
      <c r="AM632" t="s">
        <v>2991</v>
      </c>
      <c r="AN632" t="s">
        <v>2992</v>
      </c>
      <c r="AO632" t="s">
        <v>8934</v>
      </c>
      <c r="AP632" t="s">
        <v>74</v>
      </c>
      <c r="AQ632" t="s">
        <v>74</v>
      </c>
      <c r="AR632" t="s">
        <v>8935</v>
      </c>
      <c r="AS632" t="s">
        <v>8936</v>
      </c>
      <c r="AT632" t="s">
        <v>8551</v>
      </c>
      <c r="AU632">
        <v>2002</v>
      </c>
      <c r="AV632">
        <v>22</v>
      </c>
      <c r="AW632">
        <v>12</v>
      </c>
      <c r="AX632" t="s">
        <v>74</v>
      </c>
      <c r="AY632" t="s">
        <v>74</v>
      </c>
      <c r="AZ632" t="s">
        <v>74</v>
      </c>
      <c r="BA632" t="s">
        <v>74</v>
      </c>
      <c r="BB632">
        <v>1557</v>
      </c>
      <c r="BC632">
        <v>1567</v>
      </c>
      <c r="BD632" t="s">
        <v>74</v>
      </c>
      <c r="BE632" t="s">
        <v>8937</v>
      </c>
      <c r="BF632" t="str">
        <f>HYPERLINK("http://dx.doi.org/10.1002/joc.814","http://dx.doi.org/10.1002/joc.814")</f>
        <v>http://dx.doi.org/10.1002/joc.814</v>
      </c>
      <c r="BG632" t="s">
        <v>74</v>
      </c>
      <c r="BH632" t="s">
        <v>74</v>
      </c>
      <c r="BI632">
        <v>11</v>
      </c>
      <c r="BJ632" t="s">
        <v>1237</v>
      </c>
      <c r="BK632" t="s">
        <v>569</v>
      </c>
      <c r="BL632" t="s">
        <v>1237</v>
      </c>
      <c r="BM632" t="s">
        <v>8938</v>
      </c>
      <c r="BN632" t="s">
        <v>74</v>
      </c>
      <c r="BO632" t="s">
        <v>74</v>
      </c>
      <c r="BP632" t="s">
        <v>74</v>
      </c>
      <c r="BQ632" t="s">
        <v>74</v>
      </c>
      <c r="BR632" t="s">
        <v>98</v>
      </c>
      <c r="BS632" t="s">
        <v>8939</v>
      </c>
      <c r="BT632" t="str">
        <f>HYPERLINK("https%3A%2F%2Fwww.webofscience.com%2Fwos%2Fwoscc%2Ffull-record%2FWOS:000178958400009","View Full Record in Web of Science")</f>
        <v>View Full Record in Web of Science</v>
      </c>
    </row>
    <row r="633" spans="1:72" x14ac:dyDescent="0.15">
      <c r="A633" t="s">
        <v>552</v>
      </c>
      <c r="B633" t="s">
        <v>8940</v>
      </c>
      <c r="C633" t="s">
        <v>74</v>
      </c>
      <c r="D633" t="s">
        <v>74</v>
      </c>
      <c r="E633" t="s">
        <v>74</v>
      </c>
      <c r="F633" t="s">
        <v>8940</v>
      </c>
      <c r="G633" t="s">
        <v>74</v>
      </c>
      <c r="H633" t="s">
        <v>74</v>
      </c>
      <c r="I633" t="s">
        <v>8941</v>
      </c>
      <c r="J633" t="s">
        <v>6212</v>
      </c>
      <c r="K633" t="s">
        <v>74</v>
      </c>
      <c r="L633" t="s">
        <v>74</v>
      </c>
      <c r="M633" t="s">
        <v>78</v>
      </c>
      <c r="N633" t="s">
        <v>775</v>
      </c>
      <c r="O633" t="s">
        <v>74</v>
      </c>
      <c r="P633" t="s">
        <v>74</v>
      </c>
      <c r="Q633" t="s">
        <v>74</v>
      </c>
      <c r="R633" t="s">
        <v>74</v>
      </c>
      <c r="S633" t="s">
        <v>74</v>
      </c>
      <c r="T633" t="s">
        <v>74</v>
      </c>
      <c r="U633" t="s">
        <v>8942</v>
      </c>
      <c r="V633" t="s">
        <v>8943</v>
      </c>
      <c r="W633" t="s">
        <v>8944</v>
      </c>
      <c r="X633" t="s">
        <v>8945</v>
      </c>
      <c r="Y633" t="s">
        <v>8946</v>
      </c>
      <c r="Z633" t="s">
        <v>74</v>
      </c>
      <c r="AA633" t="s">
        <v>8947</v>
      </c>
      <c r="AB633" t="s">
        <v>8948</v>
      </c>
      <c r="AC633" t="s">
        <v>74</v>
      </c>
      <c r="AD633" t="s">
        <v>74</v>
      </c>
      <c r="AE633" t="s">
        <v>74</v>
      </c>
      <c r="AF633" t="s">
        <v>74</v>
      </c>
      <c r="AG633">
        <v>52</v>
      </c>
      <c r="AH633">
        <v>18</v>
      </c>
      <c r="AI633">
        <v>19</v>
      </c>
      <c r="AJ633">
        <v>0</v>
      </c>
      <c r="AK633">
        <v>4</v>
      </c>
      <c r="AL633" t="s">
        <v>2652</v>
      </c>
      <c r="AM633" t="s">
        <v>2653</v>
      </c>
      <c r="AN633" t="s">
        <v>2654</v>
      </c>
      <c r="AO633" t="s">
        <v>6217</v>
      </c>
      <c r="AP633" t="s">
        <v>74</v>
      </c>
      <c r="AQ633" t="s">
        <v>74</v>
      </c>
      <c r="AR633" t="s">
        <v>6218</v>
      </c>
      <c r="AS633" t="s">
        <v>6219</v>
      </c>
      <c r="AT633" t="s">
        <v>8551</v>
      </c>
      <c r="AU633">
        <v>2002</v>
      </c>
      <c r="AV633">
        <v>19</v>
      </c>
      <c r="AW633">
        <v>10</v>
      </c>
      <c r="AX633" t="s">
        <v>74</v>
      </c>
      <c r="AY633" t="s">
        <v>74</v>
      </c>
      <c r="AZ633" t="s">
        <v>74</v>
      </c>
      <c r="BA633" t="s">
        <v>74</v>
      </c>
      <c r="BB633">
        <v>1653</v>
      </c>
      <c r="BC633">
        <v>1664</v>
      </c>
      <c r="BD633" t="s">
        <v>74</v>
      </c>
      <c r="BE633" t="s">
        <v>8949</v>
      </c>
      <c r="BF633" t="str">
        <f>HYPERLINK("http://dx.doi.org/10.1175/1520-0426(2002)019&lt;1653:CIESAH&gt;2.0.CO;2","http://dx.doi.org/10.1175/1520-0426(2002)019&lt;1653:CIESAH&gt;2.0.CO;2")</f>
        <v>http://dx.doi.org/10.1175/1520-0426(2002)019&lt;1653:CIESAH&gt;2.0.CO;2</v>
      </c>
      <c r="BG633" t="s">
        <v>74</v>
      </c>
      <c r="BH633" t="s">
        <v>74</v>
      </c>
      <c r="BI633">
        <v>12</v>
      </c>
      <c r="BJ633" t="s">
        <v>6221</v>
      </c>
      <c r="BK633" t="s">
        <v>569</v>
      </c>
      <c r="BL633" t="s">
        <v>6222</v>
      </c>
      <c r="BM633" t="s">
        <v>8950</v>
      </c>
      <c r="BN633" t="s">
        <v>74</v>
      </c>
      <c r="BO633" t="s">
        <v>3220</v>
      </c>
      <c r="BP633" t="s">
        <v>74</v>
      </c>
      <c r="BQ633" t="s">
        <v>74</v>
      </c>
      <c r="BR633" t="s">
        <v>98</v>
      </c>
      <c r="BS633" t="s">
        <v>8951</v>
      </c>
      <c r="BT633" t="str">
        <f>HYPERLINK("https%3A%2F%2Fwww.webofscience.com%2Fwos%2Fwoscc%2Ffull-record%2FWOS:000178192800012","View Full Record in Web of Science")</f>
        <v>View Full Record in Web of Science</v>
      </c>
    </row>
    <row r="634" spans="1:72" x14ac:dyDescent="0.15">
      <c r="A634" t="s">
        <v>552</v>
      </c>
      <c r="B634" t="s">
        <v>8952</v>
      </c>
      <c r="C634" t="s">
        <v>74</v>
      </c>
      <c r="D634" t="s">
        <v>74</v>
      </c>
      <c r="E634" t="s">
        <v>74</v>
      </c>
      <c r="F634" t="s">
        <v>8952</v>
      </c>
      <c r="G634" t="s">
        <v>74</v>
      </c>
      <c r="H634" t="s">
        <v>74</v>
      </c>
      <c r="I634" t="s">
        <v>8953</v>
      </c>
      <c r="J634" t="s">
        <v>6244</v>
      </c>
      <c r="K634" t="s">
        <v>74</v>
      </c>
      <c r="L634" t="s">
        <v>74</v>
      </c>
      <c r="M634" t="s">
        <v>78</v>
      </c>
      <c r="N634" t="s">
        <v>775</v>
      </c>
      <c r="O634" t="s">
        <v>74</v>
      </c>
      <c r="P634" t="s">
        <v>74</v>
      </c>
      <c r="Q634" t="s">
        <v>74</v>
      </c>
      <c r="R634" t="s">
        <v>74</v>
      </c>
      <c r="S634" t="s">
        <v>74</v>
      </c>
      <c r="T634" t="s">
        <v>74</v>
      </c>
      <c r="U634" t="s">
        <v>8954</v>
      </c>
      <c r="V634" t="s">
        <v>8955</v>
      </c>
      <c r="W634" t="s">
        <v>8956</v>
      </c>
      <c r="X634" t="s">
        <v>8957</v>
      </c>
      <c r="Y634" t="s">
        <v>8958</v>
      </c>
      <c r="Z634" t="s">
        <v>74</v>
      </c>
      <c r="AA634" t="s">
        <v>8959</v>
      </c>
      <c r="AB634" t="s">
        <v>8960</v>
      </c>
      <c r="AC634" t="s">
        <v>74</v>
      </c>
      <c r="AD634" t="s">
        <v>74</v>
      </c>
      <c r="AE634" t="s">
        <v>74</v>
      </c>
      <c r="AF634" t="s">
        <v>74</v>
      </c>
      <c r="AG634">
        <v>18</v>
      </c>
      <c r="AH634">
        <v>27</v>
      </c>
      <c r="AI634">
        <v>29</v>
      </c>
      <c r="AJ634">
        <v>0</v>
      </c>
      <c r="AK634">
        <v>4</v>
      </c>
      <c r="AL634" t="s">
        <v>6252</v>
      </c>
      <c r="AM634" t="s">
        <v>388</v>
      </c>
      <c r="AN634" t="s">
        <v>6253</v>
      </c>
      <c r="AO634" t="s">
        <v>6254</v>
      </c>
      <c r="AP634" t="s">
        <v>74</v>
      </c>
      <c r="AQ634" t="s">
        <v>74</v>
      </c>
      <c r="AR634" t="s">
        <v>6256</v>
      </c>
      <c r="AS634" t="s">
        <v>6257</v>
      </c>
      <c r="AT634" t="s">
        <v>8551</v>
      </c>
      <c r="AU634">
        <v>2002</v>
      </c>
      <c r="AV634">
        <v>184</v>
      </c>
      <c r="AW634">
        <v>20</v>
      </c>
      <c r="AX634" t="s">
        <v>74</v>
      </c>
      <c r="AY634" t="s">
        <v>74</v>
      </c>
      <c r="AZ634" t="s">
        <v>74</v>
      </c>
      <c r="BA634" t="s">
        <v>74</v>
      </c>
      <c r="BB634">
        <v>5814</v>
      </c>
      <c r="BC634">
        <v>5817</v>
      </c>
      <c r="BD634" t="s">
        <v>74</v>
      </c>
      <c r="BE634" t="s">
        <v>8961</v>
      </c>
      <c r="BF634" t="str">
        <f>HYPERLINK("http://dx.doi.org/10.1128/JB.184.20.5814-5817.2002","http://dx.doi.org/10.1128/JB.184.20.5814-5817.2002")</f>
        <v>http://dx.doi.org/10.1128/JB.184.20.5814-5817.2002</v>
      </c>
      <c r="BG634" t="s">
        <v>74</v>
      </c>
      <c r="BH634" t="s">
        <v>74</v>
      </c>
      <c r="BI634">
        <v>4</v>
      </c>
      <c r="BJ634" t="s">
        <v>2446</v>
      </c>
      <c r="BK634" t="s">
        <v>569</v>
      </c>
      <c r="BL634" t="s">
        <v>2446</v>
      </c>
      <c r="BM634" t="s">
        <v>8962</v>
      </c>
      <c r="BN634">
        <v>12270842</v>
      </c>
      <c r="BO634" t="s">
        <v>4409</v>
      </c>
      <c r="BP634" t="s">
        <v>74</v>
      </c>
      <c r="BQ634" t="s">
        <v>74</v>
      </c>
      <c r="BR634" t="s">
        <v>98</v>
      </c>
      <c r="BS634" t="s">
        <v>8963</v>
      </c>
      <c r="BT634" t="str">
        <f>HYPERLINK("https%3A%2F%2Fwww.webofscience.com%2Fwos%2Fwoscc%2Ffull-record%2FWOS:000178279900034","View Full Record in Web of Science")</f>
        <v>View Full Record in Web of Science</v>
      </c>
    </row>
    <row r="635" spans="1:72" x14ac:dyDescent="0.15">
      <c r="A635" t="s">
        <v>552</v>
      </c>
      <c r="B635" t="s">
        <v>8964</v>
      </c>
      <c r="C635" t="s">
        <v>74</v>
      </c>
      <c r="D635" t="s">
        <v>74</v>
      </c>
      <c r="E635" t="s">
        <v>74</v>
      </c>
      <c r="F635" t="s">
        <v>8964</v>
      </c>
      <c r="G635" t="s">
        <v>74</v>
      </c>
      <c r="H635" t="s">
        <v>74</v>
      </c>
      <c r="I635" t="s">
        <v>8965</v>
      </c>
      <c r="J635" t="s">
        <v>2644</v>
      </c>
      <c r="K635" t="s">
        <v>74</v>
      </c>
      <c r="L635" t="s">
        <v>74</v>
      </c>
      <c r="M635" t="s">
        <v>78</v>
      </c>
      <c r="N635" t="s">
        <v>775</v>
      </c>
      <c r="O635" t="s">
        <v>74</v>
      </c>
      <c r="P635" t="s">
        <v>74</v>
      </c>
      <c r="Q635" t="s">
        <v>74</v>
      </c>
      <c r="R635" t="s">
        <v>74</v>
      </c>
      <c r="S635" t="s">
        <v>74</v>
      </c>
      <c r="T635" t="s">
        <v>74</v>
      </c>
      <c r="U635" t="s">
        <v>8966</v>
      </c>
      <c r="V635" t="s">
        <v>8967</v>
      </c>
      <c r="W635" t="s">
        <v>8968</v>
      </c>
      <c r="X635" t="s">
        <v>8969</v>
      </c>
      <c r="Y635" t="s">
        <v>8970</v>
      </c>
      <c r="Z635" t="s">
        <v>8971</v>
      </c>
      <c r="AA635" t="s">
        <v>8972</v>
      </c>
      <c r="AB635" t="s">
        <v>8973</v>
      </c>
      <c r="AC635" t="s">
        <v>74</v>
      </c>
      <c r="AD635" t="s">
        <v>74</v>
      </c>
      <c r="AE635" t="s">
        <v>74</v>
      </c>
      <c r="AF635" t="s">
        <v>74</v>
      </c>
      <c r="AG635">
        <v>33</v>
      </c>
      <c r="AH635">
        <v>34</v>
      </c>
      <c r="AI635">
        <v>41</v>
      </c>
      <c r="AJ635">
        <v>0</v>
      </c>
      <c r="AK635">
        <v>8</v>
      </c>
      <c r="AL635" t="s">
        <v>2652</v>
      </c>
      <c r="AM635" t="s">
        <v>2653</v>
      </c>
      <c r="AN635" t="s">
        <v>2654</v>
      </c>
      <c r="AO635" t="s">
        <v>2655</v>
      </c>
      <c r="AP635" t="s">
        <v>2684</v>
      </c>
      <c r="AQ635" t="s">
        <v>74</v>
      </c>
      <c r="AR635" t="s">
        <v>2656</v>
      </c>
      <c r="AS635" t="s">
        <v>2657</v>
      </c>
      <c r="AT635" t="s">
        <v>8551</v>
      </c>
      <c r="AU635">
        <v>2002</v>
      </c>
      <c r="AV635">
        <v>15</v>
      </c>
      <c r="AW635">
        <v>19</v>
      </c>
      <c r="AX635" t="s">
        <v>74</v>
      </c>
      <c r="AY635" t="s">
        <v>74</v>
      </c>
      <c r="AZ635" t="s">
        <v>74</v>
      </c>
      <c r="BA635" t="s">
        <v>74</v>
      </c>
      <c r="BB635">
        <v>2740</v>
      </c>
      <c r="BC635">
        <v>2757</v>
      </c>
      <c r="BD635" t="s">
        <v>74</v>
      </c>
      <c r="BE635" t="s">
        <v>8974</v>
      </c>
      <c r="BF635" t="str">
        <f>HYPERLINK("http://dx.doi.org/10.1175/1520-0442(2002)015&lt;2740:SOTAIS&gt;2.0.CO;2","http://dx.doi.org/10.1175/1520-0442(2002)015&lt;2740:SOTAIS&gt;2.0.CO;2")</f>
        <v>http://dx.doi.org/10.1175/1520-0442(2002)015&lt;2740:SOTAIS&gt;2.0.CO;2</v>
      </c>
      <c r="BG635" t="s">
        <v>74</v>
      </c>
      <c r="BH635" t="s">
        <v>74</v>
      </c>
      <c r="BI635">
        <v>18</v>
      </c>
      <c r="BJ635" t="s">
        <v>1237</v>
      </c>
      <c r="BK635" t="s">
        <v>569</v>
      </c>
      <c r="BL635" t="s">
        <v>1237</v>
      </c>
      <c r="BM635" t="s">
        <v>8975</v>
      </c>
      <c r="BN635" t="s">
        <v>74</v>
      </c>
      <c r="BO635" t="s">
        <v>2660</v>
      </c>
      <c r="BP635" t="s">
        <v>74</v>
      </c>
      <c r="BQ635" t="s">
        <v>74</v>
      </c>
      <c r="BR635" t="s">
        <v>98</v>
      </c>
      <c r="BS635" t="s">
        <v>8976</v>
      </c>
      <c r="BT635" t="str">
        <f>HYPERLINK("https%3A%2F%2Fwww.webofscience.com%2Fwos%2Fwoscc%2Ffull-record%2FWOS:000178006300002","View Full Record in Web of Science")</f>
        <v>View Full Record in Web of Science</v>
      </c>
    </row>
    <row r="636" spans="1:72" x14ac:dyDescent="0.15">
      <c r="A636" t="s">
        <v>552</v>
      </c>
      <c r="B636" t="s">
        <v>8977</v>
      </c>
      <c r="C636" t="s">
        <v>74</v>
      </c>
      <c r="D636" t="s">
        <v>74</v>
      </c>
      <c r="E636" t="s">
        <v>74</v>
      </c>
      <c r="F636" t="s">
        <v>8977</v>
      </c>
      <c r="G636" t="s">
        <v>74</v>
      </c>
      <c r="H636" t="s">
        <v>74</v>
      </c>
      <c r="I636" t="s">
        <v>8978</v>
      </c>
      <c r="J636" t="s">
        <v>2644</v>
      </c>
      <c r="K636" t="s">
        <v>74</v>
      </c>
      <c r="L636" t="s">
        <v>74</v>
      </c>
      <c r="M636" t="s">
        <v>78</v>
      </c>
      <c r="N636" t="s">
        <v>775</v>
      </c>
      <c r="O636" t="s">
        <v>74</v>
      </c>
      <c r="P636" t="s">
        <v>74</v>
      </c>
      <c r="Q636" t="s">
        <v>74</v>
      </c>
      <c r="R636" t="s">
        <v>74</v>
      </c>
      <c r="S636" t="s">
        <v>74</v>
      </c>
      <c r="T636" t="s">
        <v>74</v>
      </c>
      <c r="U636" t="s">
        <v>8979</v>
      </c>
      <c r="V636" t="s">
        <v>8980</v>
      </c>
      <c r="W636" t="s">
        <v>8981</v>
      </c>
      <c r="X636" t="s">
        <v>8982</v>
      </c>
      <c r="Y636" t="s">
        <v>8983</v>
      </c>
      <c r="Z636" t="s">
        <v>8984</v>
      </c>
      <c r="AA636" t="s">
        <v>8985</v>
      </c>
      <c r="AB636" t="s">
        <v>8986</v>
      </c>
      <c r="AC636" t="s">
        <v>74</v>
      </c>
      <c r="AD636" t="s">
        <v>74</v>
      </c>
      <c r="AE636" t="s">
        <v>74</v>
      </c>
      <c r="AF636" t="s">
        <v>74</v>
      </c>
      <c r="AG636">
        <v>42</v>
      </c>
      <c r="AH636">
        <v>23</v>
      </c>
      <c r="AI636">
        <v>24</v>
      </c>
      <c r="AJ636">
        <v>0</v>
      </c>
      <c r="AK636">
        <v>4</v>
      </c>
      <c r="AL636" t="s">
        <v>2652</v>
      </c>
      <c r="AM636" t="s">
        <v>2653</v>
      </c>
      <c r="AN636" t="s">
        <v>2654</v>
      </c>
      <c r="AO636" t="s">
        <v>2655</v>
      </c>
      <c r="AP636" t="s">
        <v>2684</v>
      </c>
      <c r="AQ636" t="s">
        <v>74</v>
      </c>
      <c r="AR636" t="s">
        <v>2656</v>
      </c>
      <c r="AS636" t="s">
        <v>2657</v>
      </c>
      <c r="AT636" t="s">
        <v>8551</v>
      </c>
      <c r="AU636">
        <v>2002</v>
      </c>
      <c r="AV636">
        <v>15</v>
      </c>
      <c r="AW636">
        <v>19</v>
      </c>
      <c r="AX636" t="s">
        <v>74</v>
      </c>
      <c r="AY636" t="s">
        <v>74</v>
      </c>
      <c r="AZ636" t="s">
        <v>74</v>
      </c>
      <c r="BA636" t="s">
        <v>74</v>
      </c>
      <c r="BB636">
        <v>2758</v>
      </c>
      <c r="BC636">
        <v>2774</v>
      </c>
      <c r="BD636" t="s">
        <v>74</v>
      </c>
      <c r="BE636" t="s">
        <v>8987</v>
      </c>
      <c r="BF636" t="str">
        <f>HYPERLINK("http://dx.doi.org/10.1175/1520-0442(2002)015&lt;2758:TSOTAS&gt;2.0.CO;2","http://dx.doi.org/10.1175/1520-0442(2002)015&lt;2758:TSOTAS&gt;2.0.CO;2")</f>
        <v>http://dx.doi.org/10.1175/1520-0442(2002)015&lt;2758:TSOTAS&gt;2.0.CO;2</v>
      </c>
      <c r="BG636" t="s">
        <v>74</v>
      </c>
      <c r="BH636" t="s">
        <v>74</v>
      </c>
      <c r="BI636">
        <v>17</v>
      </c>
      <c r="BJ636" t="s">
        <v>1237</v>
      </c>
      <c r="BK636" t="s">
        <v>569</v>
      </c>
      <c r="BL636" t="s">
        <v>1237</v>
      </c>
      <c r="BM636" t="s">
        <v>8975</v>
      </c>
      <c r="BN636" t="s">
        <v>74</v>
      </c>
      <c r="BO636" t="s">
        <v>2660</v>
      </c>
      <c r="BP636" t="s">
        <v>74</v>
      </c>
      <c r="BQ636" t="s">
        <v>74</v>
      </c>
      <c r="BR636" t="s">
        <v>98</v>
      </c>
      <c r="BS636" t="s">
        <v>8988</v>
      </c>
      <c r="BT636" t="str">
        <f>HYPERLINK("https%3A%2F%2Fwww.webofscience.com%2Fwos%2Fwoscc%2Ffull-record%2FWOS:000178006300003","View Full Record in Web of Science")</f>
        <v>View Full Record in Web of Science</v>
      </c>
    </row>
    <row r="637" spans="1:72" x14ac:dyDescent="0.15">
      <c r="A637" t="s">
        <v>552</v>
      </c>
      <c r="B637" t="s">
        <v>8989</v>
      </c>
      <c r="C637" t="s">
        <v>74</v>
      </c>
      <c r="D637" t="s">
        <v>74</v>
      </c>
      <c r="E637" t="s">
        <v>74</v>
      </c>
      <c r="F637" t="s">
        <v>8989</v>
      </c>
      <c r="G637" t="s">
        <v>74</v>
      </c>
      <c r="H637" t="s">
        <v>74</v>
      </c>
      <c r="I637" t="s">
        <v>8990</v>
      </c>
      <c r="J637" t="s">
        <v>2706</v>
      </c>
      <c r="K637" t="s">
        <v>74</v>
      </c>
      <c r="L637" t="s">
        <v>74</v>
      </c>
      <c r="M637" t="s">
        <v>78</v>
      </c>
      <c r="N637" t="s">
        <v>775</v>
      </c>
      <c r="O637" t="s">
        <v>74</v>
      </c>
      <c r="P637" t="s">
        <v>74</v>
      </c>
      <c r="Q637" t="s">
        <v>74</v>
      </c>
      <c r="R637" t="s">
        <v>74</v>
      </c>
      <c r="S637" t="s">
        <v>74</v>
      </c>
      <c r="T637" t="s">
        <v>8991</v>
      </c>
      <c r="U637" t="s">
        <v>8992</v>
      </c>
      <c r="V637" t="s">
        <v>8993</v>
      </c>
      <c r="W637" t="s">
        <v>3281</v>
      </c>
      <c r="X637" t="s">
        <v>239</v>
      </c>
      <c r="Y637" t="s">
        <v>8994</v>
      </c>
      <c r="Z637" t="s">
        <v>8995</v>
      </c>
      <c r="AA637" t="s">
        <v>74</v>
      </c>
      <c r="AB637" t="s">
        <v>3284</v>
      </c>
      <c r="AC637" t="s">
        <v>74</v>
      </c>
      <c r="AD637" t="s">
        <v>74</v>
      </c>
      <c r="AE637" t="s">
        <v>74</v>
      </c>
      <c r="AF637" t="s">
        <v>74</v>
      </c>
      <c r="AG637">
        <v>64</v>
      </c>
      <c r="AH637">
        <v>65</v>
      </c>
      <c r="AI637">
        <v>71</v>
      </c>
      <c r="AJ637">
        <v>1</v>
      </c>
      <c r="AK637">
        <v>12</v>
      </c>
      <c r="AL637" t="s">
        <v>2768</v>
      </c>
      <c r="AM637" t="s">
        <v>1168</v>
      </c>
      <c r="AN637" t="s">
        <v>2769</v>
      </c>
      <c r="AO637" t="s">
        <v>2717</v>
      </c>
      <c r="AP637" t="s">
        <v>2770</v>
      </c>
      <c r="AQ637" t="s">
        <v>74</v>
      </c>
      <c r="AR637" t="s">
        <v>2718</v>
      </c>
      <c r="AS637" t="s">
        <v>2719</v>
      </c>
      <c r="AT637" t="s">
        <v>8551</v>
      </c>
      <c r="AU637">
        <v>2002</v>
      </c>
      <c r="AV637">
        <v>205</v>
      </c>
      <c r="AW637">
        <v>19</v>
      </c>
      <c r="AX637" t="s">
        <v>74</v>
      </c>
      <c r="AY637" t="s">
        <v>74</v>
      </c>
      <c r="AZ637" t="s">
        <v>74</v>
      </c>
      <c r="BA637" t="s">
        <v>74</v>
      </c>
      <c r="BB637">
        <v>3077</v>
      </c>
      <c r="BC637">
        <v>3086</v>
      </c>
      <c r="BD637" t="s">
        <v>74</v>
      </c>
      <c r="BE637" t="s">
        <v>74</v>
      </c>
      <c r="BF637" t="s">
        <v>74</v>
      </c>
      <c r="BG637" t="s">
        <v>74</v>
      </c>
      <c r="BH637" t="s">
        <v>74</v>
      </c>
      <c r="BI637">
        <v>10</v>
      </c>
      <c r="BJ637" t="s">
        <v>948</v>
      </c>
      <c r="BK637" t="s">
        <v>569</v>
      </c>
      <c r="BL637" t="s">
        <v>949</v>
      </c>
      <c r="BM637" t="s">
        <v>8996</v>
      </c>
      <c r="BN637">
        <v>12200410</v>
      </c>
      <c r="BO637" t="s">
        <v>74</v>
      </c>
      <c r="BP637" t="s">
        <v>74</v>
      </c>
      <c r="BQ637" t="s">
        <v>74</v>
      </c>
      <c r="BR637" t="s">
        <v>98</v>
      </c>
      <c r="BS637" t="s">
        <v>8997</v>
      </c>
      <c r="BT637" t="str">
        <f>HYPERLINK("https%3A%2F%2Fwww.webofscience.com%2Fwos%2Fwoscc%2Ffull-record%2FWOS:000178652100012","View Full Record in Web of Science")</f>
        <v>View Full Record in Web of Science</v>
      </c>
    </row>
    <row r="638" spans="1:72" x14ac:dyDescent="0.15">
      <c r="A638" t="s">
        <v>552</v>
      </c>
      <c r="B638" t="s">
        <v>8998</v>
      </c>
      <c r="C638" t="s">
        <v>74</v>
      </c>
      <c r="D638" t="s">
        <v>74</v>
      </c>
      <c r="E638" t="s">
        <v>74</v>
      </c>
      <c r="F638" t="s">
        <v>8998</v>
      </c>
      <c r="G638" t="s">
        <v>74</v>
      </c>
      <c r="H638" t="s">
        <v>74</v>
      </c>
      <c r="I638" t="s">
        <v>8999</v>
      </c>
      <c r="J638" t="s">
        <v>9000</v>
      </c>
      <c r="K638" t="s">
        <v>74</v>
      </c>
      <c r="L638" t="s">
        <v>74</v>
      </c>
      <c r="M638" t="s">
        <v>78</v>
      </c>
      <c r="N638" t="s">
        <v>775</v>
      </c>
      <c r="O638" t="s">
        <v>74</v>
      </c>
      <c r="P638" t="s">
        <v>74</v>
      </c>
      <c r="Q638" t="s">
        <v>74</v>
      </c>
      <c r="R638" t="s">
        <v>74</v>
      </c>
      <c r="S638" t="s">
        <v>74</v>
      </c>
      <c r="T638" t="s">
        <v>74</v>
      </c>
      <c r="U638" t="s">
        <v>9001</v>
      </c>
      <c r="V638" t="s">
        <v>9002</v>
      </c>
      <c r="W638" t="s">
        <v>9003</v>
      </c>
      <c r="X638" t="s">
        <v>9004</v>
      </c>
      <c r="Y638" t="s">
        <v>9005</v>
      </c>
      <c r="Z638" t="s">
        <v>74</v>
      </c>
      <c r="AA638" t="s">
        <v>9006</v>
      </c>
      <c r="AB638" t="s">
        <v>9007</v>
      </c>
      <c r="AC638" t="s">
        <v>74</v>
      </c>
      <c r="AD638" t="s">
        <v>74</v>
      </c>
      <c r="AE638" t="s">
        <v>74</v>
      </c>
      <c r="AF638" t="s">
        <v>74</v>
      </c>
      <c r="AG638">
        <v>45</v>
      </c>
      <c r="AH638">
        <v>27</v>
      </c>
      <c r="AI638">
        <v>30</v>
      </c>
      <c r="AJ638">
        <v>0</v>
      </c>
      <c r="AK638">
        <v>7</v>
      </c>
      <c r="AL638" t="s">
        <v>9008</v>
      </c>
      <c r="AM638" t="s">
        <v>1168</v>
      </c>
      <c r="AN638" t="s">
        <v>9009</v>
      </c>
      <c r="AO638" t="s">
        <v>9010</v>
      </c>
      <c r="AP638" t="s">
        <v>74</v>
      </c>
      <c r="AQ638" t="s">
        <v>74</v>
      </c>
      <c r="AR638" t="s">
        <v>9011</v>
      </c>
      <c r="AS638" t="s">
        <v>9012</v>
      </c>
      <c r="AT638" t="s">
        <v>8551</v>
      </c>
      <c r="AU638">
        <v>2002</v>
      </c>
      <c r="AV638">
        <v>32</v>
      </c>
      <c r="AW638">
        <v>4</v>
      </c>
      <c r="AX638" t="s">
        <v>74</v>
      </c>
      <c r="AY638" t="s">
        <v>74</v>
      </c>
      <c r="AZ638" t="s">
        <v>74</v>
      </c>
      <c r="BA638" t="s">
        <v>74</v>
      </c>
      <c r="BB638">
        <v>364</v>
      </c>
      <c r="BC638">
        <v>374</v>
      </c>
      <c r="BD638" t="s">
        <v>74</v>
      </c>
      <c r="BE638" t="s">
        <v>9013</v>
      </c>
      <c r="BF638" t="str">
        <f>HYPERLINK("http://dx.doi.org/10.2113/0320364","http://dx.doi.org/10.2113/0320364")</f>
        <v>http://dx.doi.org/10.2113/0320364</v>
      </c>
      <c r="BG638" t="s">
        <v>74</v>
      </c>
      <c r="BH638" t="s">
        <v>74</v>
      </c>
      <c r="BI638">
        <v>11</v>
      </c>
      <c r="BJ638" t="s">
        <v>3069</v>
      </c>
      <c r="BK638" t="s">
        <v>569</v>
      </c>
      <c r="BL638" t="s">
        <v>3069</v>
      </c>
      <c r="BM638" t="s">
        <v>9014</v>
      </c>
      <c r="BN638" t="s">
        <v>74</v>
      </c>
      <c r="BO638" t="s">
        <v>74</v>
      </c>
      <c r="BP638" t="s">
        <v>74</v>
      </c>
      <c r="BQ638" t="s">
        <v>74</v>
      </c>
      <c r="BR638" t="s">
        <v>98</v>
      </c>
      <c r="BS638" t="s">
        <v>9015</v>
      </c>
      <c r="BT638" t="str">
        <f>HYPERLINK("https%3A%2F%2Fwww.webofscience.com%2Fwos%2Fwoscc%2Ffull-record%2FWOS:000180238300006","View Full Record in Web of Science")</f>
        <v>View Full Record in Web of Science</v>
      </c>
    </row>
    <row r="639" spans="1:72" x14ac:dyDescent="0.15">
      <c r="A639" t="s">
        <v>552</v>
      </c>
      <c r="B639" t="s">
        <v>9016</v>
      </c>
      <c r="C639" t="s">
        <v>74</v>
      </c>
      <c r="D639" t="s">
        <v>74</v>
      </c>
      <c r="E639" t="s">
        <v>74</v>
      </c>
      <c r="F639" t="s">
        <v>9016</v>
      </c>
      <c r="G639" t="s">
        <v>74</v>
      </c>
      <c r="H639" t="s">
        <v>74</v>
      </c>
      <c r="I639" t="s">
        <v>9017</v>
      </c>
      <c r="J639" t="s">
        <v>9018</v>
      </c>
      <c r="K639" t="s">
        <v>74</v>
      </c>
      <c r="L639" t="s">
        <v>74</v>
      </c>
      <c r="M639" t="s">
        <v>78</v>
      </c>
      <c r="N639" t="s">
        <v>775</v>
      </c>
      <c r="O639" t="s">
        <v>74</v>
      </c>
      <c r="P639" t="s">
        <v>74</v>
      </c>
      <c r="Q639" t="s">
        <v>74</v>
      </c>
      <c r="R639" t="s">
        <v>74</v>
      </c>
      <c r="S639" t="s">
        <v>74</v>
      </c>
      <c r="T639" t="s">
        <v>74</v>
      </c>
      <c r="U639" t="s">
        <v>9019</v>
      </c>
      <c r="V639" t="s">
        <v>9020</v>
      </c>
      <c r="W639" t="s">
        <v>9021</v>
      </c>
      <c r="X639" t="s">
        <v>9022</v>
      </c>
      <c r="Y639" t="s">
        <v>9023</v>
      </c>
      <c r="Z639" t="s">
        <v>9024</v>
      </c>
      <c r="AA639" t="s">
        <v>9025</v>
      </c>
      <c r="AB639" t="s">
        <v>9026</v>
      </c>
      <c r="AC639" t="s">
        <v>74</v>
      </c>
      <c r="AD639" t="s">
        <v>74</v>
      </c>
      <c r="AE639" t="s">
        <v>74</v>
      </c>
      <c r="AF639" t="s">
        <v>74</v>
      </c>
      <c r="AG639">
        <v>93</v>
      </c>
      <c r="AH639">
        <v>752</v>
      </c>
      <c r="AI639">
        <v>897</v>
      </c>
      <c r="AJ639">
        <v>7</v>
      </c>
      <c r="AK639">
        <v>240</v>
      </c>
      <c r="AL639" t="s">
        <v>806</v>
      </c>
      <c r="AM639" t="s">
        <v>807</v>
      </c>
      <c r="AN639" t="s">
        <v>808</v>
      </c>
      <c r="AO639" t="s">
        <v>9027</v>
      </c>
      <c r="AP639" t="s">
        <v>74</v>
      </c>
      <c r="AQ639" t="s">
        <v>74</v>
      </c>
      <c r="AR639" t="s">
        <v>9028</v>
      </c>
      <c r="AS639" t="s">
        <v>9029</v>
      </c>
      <c r="AT639" t="s">
        <v>8856</v>
      </c>
      <c r="AU639">
        <v>2002</v>
      </c>
      <c r="AV639">
        <v>34</v>
      </c>
      <c r="AW639" t="s">
        <v>1424</v>
      </c>
      <c r="AX639" t="s">
        <v>74</v>
      </c>
      <c r="AY639" t="s">
        <v>74</v>
      </c>
      <c r="AZ639" t="s">
        <v>74</v>
      </c>
      <c r="BA639" t="s">
        <v>74</v>
      </c>
      <c r="BB639">
        <v>405</v>
      </c>
      <c r="BC639">
        <v>445</v>
      </c>
      <c r="BD639" t="s">
        <v>9030</v>
      </c>
      <c r="BE639" t="s">
        <v>9031</v>
      </c>
      <c r="BF639" t="str">
        <f>HYPERLINK("http://dx.doi.org/10.1016/S0264-3707(02)00042-X","http://dx.doi.org/10.1016/S0264-3707(02)00042-X")</f>
        <v>http://dx.doi.org/10.1016/S0264-3707(02)00042-X</v>
      </c>
      <c r="BG639" t="s">
        <v>74</v>
      </c>
      <c r="BH639" t="s">
        <v>74</v>
      </c>
      <c r="BI639">
        <v>41</v>
      </c>
      <c r="BJ639" t="s">
        <v>2068</v>
      </c>
      <c r="BK639" t="s">
        <v>569</v>
      </c>
      <c r="BL639" t="s">
        <v>2068</v>
      </c>
      <c r="BM639" t="s">
        <v>9032</v>
      </c>
      <c r="BN639" t="s">
        <v>74</v>
      </c>
      <c r="BO639" t="s">
        <v>590</v>
      </c>
      <c r="BP639" t="s">
        <v>74</v>
      </c>
      <c r="BQ639" t="s">
        <v>74</v>
      </c>
      <c r="BR639" t="s">
        <v>98</v>
      </c>
      <c r="BS639" t="s">
        <v>9033</v>
      </c>
      <c r="BT639" t="str">
        <f>HYPERLINK("https%3A%2F%2Fwww.webofscience.com%2Fwos%2Fwoscc%2Ffull-record%2FWOS:000178484800006","View Full Record in Web of Science")</f>
        <v>View Full Record in Web of Science</v>
      </c>
    </row>
    <row r="640" spans="1:72" x14ac:dyDescent="0.15">
      <c r="A640" t="s">
        <v>552</v>
      </c>
      <c r="B640" t="s">
        <v>9034</v>
      </c>
      <c r="C640" t="s">
        <v>74</v>
      </c>
      <c r="D640" t="s">
        <v>74</v>
      </c>
      <c r="E640" t="s">
        <v>74</v>
      </c>
      <c r="F640" t="s">
        <v>9034</v>
      </c>
      <c r="G640" t="s">
        <v>74</v>
      </c>
      <c r="H640" t="s">
        <v>74</v>
      </c>
      <c r="I640" t="s">
        <v>9035</v>
      </c>
      <c r="J640" t="s">
        <v>9036</v>
      </c>
      <c r="K640" t="s">
        <v>74</v>
      </c>
      <c r="L640" t="s">
        <v>74</v>
      </c>
      <c r="M640" t="s">
        <v>78</v>
      </c>
      <c r="N640" t="s">
        <v>775</v>
      </c>
      <c r="O640" t="s">
        <v>74</v>
      </c>
      <c r="P640" t="s">
        <v>74</v>
      </c>
      <c r="Q640" t="s">
        <v>74</v>
      </c>
      <c r="R640" t="s">
        <v>74</v>
      </c>
      <c r="S640" t="s">
        <v>74</v>
      </c>
      <c r="T640" t="s">
        <v>74</v>
      </c>
      <c r="U640" t="s">
        <v>9037</v>
      </c>
      <c r="V640" t="s">
        <v>9038</v>
      </c>
      <c r="W640" t="s">
        <v>9039</v>
      </c>
      <c r="X640" t="s">
        <v>9040</v>
      </c>
      <c r="Y640" t="s">
        <v>9041</v>
      </c>
      <c r="Z640" t="s">
        <v>9042</v>
      </c>
      <c r="AA640" t="s">
        <v>74</v>
      </c>
      <c r="AB640" t="s">
        <v>74</v>
      </c>
      <c r="AC640" t="s">
        <v>74</v>
      </c>
      <c r="AD640" t="s">
        <v>74</v>
      </c>
      <c r="AE640" t="s">
        <v>74</v>
      </c>
      <c r="AF640" t="s">
        <v>74</v>
      </c>
      <c r="AG640">
        <v>61</v>
      </c>
      <c r="AH640">
        <v>2</v>
      </c>
      <c r="AI640">
        <v>2</v>
      </c>
      <c r="AJ640">
        <v>0</v>
      </c>
      <c r="AK640">
        <v>1</v>
      </c>
      <c r="AL640" t="s">
        <v>387</v>
      </c>
      <c r="AM640" t="s">
        <v>388</v>
      </c>
      <c r="AN640" t="s">
        <v>389</v>
      </c>
      <c r="AO640" t="s">
        <v>9043</v>
      </c>
      <c r="AP640" t="s">
        <v>9044</v>
      </c>
      <c r="AQ640" t="s">
        <v>74</v>
      </c>
      <c r="AR640" t="s">
        <v>9045</v>
      </c>
      <c r="AS640" t="s">
        <v>9046</v>
      </c>
      <c r="AT640" t="s">
        <v>8551</v>
      </c>
      <c r="AU640">
        <v>2002</v>
      </c>
      <c r="AV640">
        <v>107</v>
      </c>
      <c r="AW640" t="s">
        <v>9047</v>
      </c>
      <c r="AX640" t="s">
        <v>74</v>
      </c>
      <c r="AY640" t="s">
        <v>74</v>
      </c>
      <c r="AZ640" t="s">
        <v>74</v>
      </c>
      <c r="BA640" t="s">
        <v>74</v>
      </c>
      <c r="BB640" t="s">
        <v>74</v>
      </c>
      <c r="BC640" t="s">
        <v>74</v>
      </c>
      <c r="BD640">
        <v>5077</v>
      </c>
      <c r="BE640" t="s">
        <v>9048</v>
      </c>
      <c r="BF640" t="str">
        <f>HYPERLINK("http://dx.doi.org/10.1029/2001JE001527","http://dx.doi.org/10.1029/2001JE001527")</f>
        <v>http://dx.doi.org/10.1029/2001JE001527</v>
      </c>
      <c r="BG640" t="s">
        <v>74</v>
      </c>
      <c r="BH640" t="s">
        <v>74</v>
      </c>
      <c r="BI640">
        <v>13</v>
      </c>
      <c r="BJ640" t="s">
        <v>2068</v>
      </c>
      <c r="BK640" t="s">
        <v>569</v>
      </c>
      <c r="BL640" t="s">
        <v>2068</v>
      </c>
      <c r="BM640" t="s">
        <v>9049</v>
      </c>
      <c r="BN640" t="s">
        <v>74</v>
      </c>
      <c r="BO640" t="s">
        <v>572</v>
      </c>
      <c r="BP640" t="s">
        <v>74</v>
      </c>
      <c r="BQ640" t="s">
        <v>74</v>
      </c>
      <c r="BR640" t="s">
        <v>98</v>
      </c>
      <c r="BS640" t="s">
        <v>9050</v>
      </c>
      <c r="BT640" t="str">
        <f>HYPERLINK("https%3A%2F%2Fwww.webofscience.com%2Fwos%2Fwoscc%2Ffull-record%2FWOS:000180634100007","View Full Record in Web of Science")</f>
        <v>View Full Record in Web of Science</v>
      </c>
    </row>
    <row r="641" spans="1:72" x14ac:dyDescent="0.15">
      <c r="A641" t="s">
        <v>552</v>
      </c>
      <c r="B641" t="s">
        <v>9051</v>
      </c>
      <c r="C641" t="s">
        <v>74</v>
      </c>
      <c r="D641" t="s">
        <v>74</v>
      </c>
      <c r="E641" t="s">
        <v>74</v>
      </c>
      <c r="F641" t="s">
        <v>9051</v>
      </c>
      <c r="G641" t="s">
        <v>74</v>
      </c>
      <c r="H641" t="s">
        <v>74</v>
      </c>
      <c r="I641" t="s">
        <v>9052</v>
      </c>
      <c r="J641" t="s">
        <v>9036</v>
      </c>
      <c r="K641" t="s">
        <v>74</v>
      </c>
      <c r="L641" t="s">
        <v>74</v>
      </c>
      <c r="M641" t="s">
        <v>78</v>
      </c>
      <c r="N641" t="s">
        <v>775</v>
      </c>
      <c r="O641" t="s">
        <v>74</v>
      </c>
      <c r="P641" t="s">
        <v>74</v>
      </c>
      <c r="Q641" t="s">
        <v>74</v>
      </c>
      <c r="R641" t="s">
        <v>74</v>
      </c>
      <c r="S641" t="s">
        <v>74</v>
      </c>
      <c r="T641" t="s">
        <v>9053</v>
      </c>
      <c r="U641" t="s">
        <v>9054</v>
      </c>
      <c r="V641" t="s">
        <v>9055</v>
      </c>
      <c r="W641" t="s">
        <v>9056</v>
      </c>
      <c r="X641" t="s">
        <v>3456</v>
      </c>
      <c r="Y641" t="s">
        <v>9057</v>
      </c>
      <c r="Z641" t="s">
        <v>9058</v>
      </c>
      <c r="AA641" t="s">
        <v>74</v>
      </c>
      <c r="AB641" t="s">
        <v>74</v>
      </c>
      <c r="AC641" t="s">
        <v>74</v>
      </c>
      <c r="AD641" t="s">
        <v>74</v>
      </c>
      <c r="AE641" t="s">
        <v>74</v>
      </c>
      <c r="AF641" t="s">
        <v>74</v>
      </c>
      <c r="AG641">
        <v>20</v>
      </c>
      <c r="AH641">
        <v>0</v>
      </c>
      <c r="AI641">
        <v>0</v>
      </c>
      <c r="AJ641">
        <v>0</v>
      </c>
      <c r="AK641">
        <v>2</v>
      </c>
      <c r="AL641" t="s">
        <v>387</v>
      </c>
      <c r="AM641" t="s">
        <v>388</v>
      </c>
      <c r="AN641" t="s">
        <v>389</v>
      </c>
      <c r="AO641" t="s">
        <v>9043</v>
      </c>
      <c r="AP641" t="s">
        <v>9044</v>
      </c>
      <c r="AQ641" t="s">
        <v>74</v>
      </c>
      <c r="AR641" t="s">
        <v>9045</v>
      </c>
      <c r="AS641" t="s">
        <v>9046</v>
      </c>
      <c r="AT641" t="s">
        <v>8551</v>
      </c>
      <c r="AU641">
        <v>2002</v>
      </c>
      <c r="AV641">
        <v>107</v>
      </c>
      <c r="AW641" t="s">
        <v>9047</v>
      </c>
      <c r="AX641" t="s">
        <v>74</v>
      </c>
      <c r="AY641" t="s">
        <v>74</v>
      </c>
      <c r="AZ641" t="s">
        <v>74</v>
      </c>
      <c r="BA641" t="s">
        <v>74</v>
      </c>
      <c r="BB641" t="s">
        <v>74</v>
      </c>
      <c r="BC641" t="s">
        <v>74</v>
      </c>
      <c r="BD641">
        <v>5087</v>
      </c>
      <c r="BE641" t="s">
        <v>9059</v>
      </c>
      <c r="BF641" t="str">
        <f>HYPERLINK("http://dx.doi.org/10.1029/2001JE001824","http://dx.doi.org/10.1029/2001JE001824")</f>
        <v>http://dx.doi.org/10.1029/2001JE001824</v>
      </c>
      <c r="BG641" t="s">
        <v>74</v>
      </c>
      <c r="BH641" t="s">
        <v>74</v>
      </c>
      <c r="BI641">
        <v>17</v>
      </c>
      <c r="BJ641" t="s">
        <v>2068</v>
      </c>
      <c r="BK641" t="s">
        <v>569</v>
      </c>
      <c r="BL641" t="s">
        <v>2068</v>
      </c>
      <c r="BM641" t="s">
        <v>9049</v>
      </c>
      <c r="BN641" t="s">
        <v>74</v>
      </c>
      <c r="BO641" t="s">
        <v>572</v>
      </c>
      <c r="BP641" t="s">
        <v>74</v>
      </c>
      <c r="BQ641" t="s">
        <v>74</v>
      </c>
      <c r="BR641" t="s">
        <v>98</v>
      </c>
      <c r="BS641" t="s">
        <v>9060</v>
      </c>
      <c r="BT641" t="str">
        <f>HYPERLINK("https%3A%2F%2Fwww.webofscience.com%2Fwos%2Fwoscc%2Ffull-record%2FWOS:000180634100017","View Full Record in Web of Science")</f>
        <v>View Full Record in Web of Science</v>
      </c>
    </row>
    <row r="642" spans="1:72" x14ac:dyDescent="0.15">
      <c r="A642" t="s">
        <v>552</v>
      </c>
      <c r="B642" t="s">
        <v>9061</v>
      </c>
      <c r="C642" t="s">
        <v>74</v>
      </c>
      <c r="D642" t="s">
        <v>74</v>
      </c>
      <c r="E642" t="s">
        <v>74</v>
      </c>
      <c r="F642" t="s">
        <v>9061</v>
      </c>
      <c r="G642" t="s">
        <v>74</v>
      </c>
      <c r="H642" t="s">
        <v>74</v>
      </c>
      <c r="I642" t="s">
        <v>9062</v>
      </c>
      <c r="J642" t="s">
        <v>5495</v>
      </c>
      <c r="K642" t="s">
        <v>74</v>
      </c>
      <c r="L642" t="s">
        <v>74</v>
      </c>
      <c r="M642" t="s">
        <v>78</v>
      </c>
      <c r="N642" t="s">
        <v>775</v>
      </c>
      <c r="O642" t="s">
        <v>74</v>
      </c>
      <c r="P642" t="s">
        <v>74</v>
      </c>
      <c r="Q642" t="s">
        <v>74</v>
      </c>
      <c r="R642" t="s">
        <v>74</v>
      </c>
      <c r="S642" t="s">
        <v>74</v>
      </c>
      <c r="T642" t="s">
        <v>9063</v>
      </c>
      <c r="U642" t="s">
        <v>9064</v>
      </c>
      <c r="V642" t="s">
        <v>9065</v>
      </c>
      <c r="W642" t="s">
        <v>9066</v>
      </c>
      <c r="X642" t="s">
        <v>9067</v>
      </c>
      <c r="Y642" t="s">
        <v>9068</v>
      </c>
      <c r="Z642" t="s">
        <v>9069</v>
      </c>
      <c r="AA642" t="s">
        <v>9070</v>
      </c>
      <c r="AB642" t="s">
        <v>74</v>
      </c>
      <c r="AC642" t="s">
        <v>74</v>
      </c>
      <c r="AD642" t="s">
        <v>74</v>
      </c>
      <c r="AE642" t="s">
        <v>74</v>
      </c>
      <c r="AF642" t="s">
        <v>74</v>
      </c>
      <c r="AG642">
        <v>22</v>
      </c>
      <c r="AH642">
        <v>22</v>
      </c>
      <c r="AI642">
        <v>24</v>
      </c>
      <c r="AJ642">
        <v>0</v>
      </c>
      <c r="AK642">
        <v>19</v>
      </c>
      <c r="AL642" t="s">
        <v>387</v>
      </c>
      <c r="AM642" t="s">
        <v>388</v>
      </c>
      <c r="AN642" t="s">
        <v>389</v>
      </c>
      <c r="AO642" t="s">
        <v>5505</v>
      </c>
      <c r="AP642" t="s">
        <v>5506</v>
      </c>
      <c r="AQ642" t="s">
        <v>74</v>
      </c>
      <c r="AR642" t="s">
        <v>5507</v>
      </c>
      <c r="AS642" t="s">
        <v>5508</v>
      </c>
      <c r="AT642" t="s">
        <v>8551</v>
      </c>
      <c r="AU642">
        <v>2002</v>
      </c>
      <c r="AV642">
        <v>107</v>
      </c>
      <c r="AW642" t="s">
        <v>9071</v>
      </c>
      <c r="AX642" t="s">
        <v>74</v>
      </c>
      <c r="AY642" t="s">
        <v>74</v>
      </c>
      <c r="AZ642" t="s">
        <v>74</v>
      </c>
      <c r="BA642" t="s">
        <v>74</v>
      </c>
      <c r="BB642" t="s">
        <v>74</v>
      </c>
      <c r="BC642" t="s">
        <v>74</v>
      </c>
      <c r="BD642">
        <v>2263</v>
      </c>
      <c r="BE642" t="s">
        <v>9072</v>
      </c>
      <c r="BF642" t="str">
        <f>HYPERLINK("http://dx.doi.org/10.1029/2001JB000708","http://dx.doi.org/10.1029/2001JB000708")</f>
        <v>http://dx.doi.org/10.1029/2001JB000708</v>
      </c>
      <c r="BG642" t="s">
        <v>74</v>
      </c>
      <c r="BH642" t="s">
        <v>74</v>
      </c>
      <c r="BI642">
        <v>11</v>
      </c>
      <c r="BJ642" t="s">
        <v>2068</v>
      </c>
      <c r="BK642" t="s">
        <v>569</v>
      </c>
      <c r="BL642" t="s">
        <v>2068</v>
      </c>
      <c r="BM642" t="s">
        <v>9073</v>
      </c>
      <c r="BN642" t="s">
        <v>74</v>
      </c>
      <c r="BO642" t="s">
        <v>3298</v>
      </c>
      <c r="BP642" t="s">
        <v>74</v>
      </c>
      <c r="BQ642" t="s">
        <v>74</v>
      </c>
      <c r="BR642" t="s">
        <v>98</v>
      </c>
      <c r="BS642" t="s">
        <v>9074</v>
      </c>
      <c r="BT642" t="str">
        <f>HYPERLINK("https%3A%2F%2Fwww.webofscience.com%2Fwos%2Fwoscc%2Ffull-record%2FWOS:000180525500057","View Full Record in Web of Science")</f>
        <v>View Full Record in Web of Science</v>
      </c>
    </row>
    <row r="643" spans="1:72" x14ac:dyDescent="0.15">
      <c r="A643" t="s">
        <v>552</v>
      </c>
      <c r="B643" t="s">
        <v>9075</v>
      </c>
      <c r="C643" t="s">
        <v>74</v>
      </c>
      <c r="D643" t="s">
        <v>74</v>
      </c>
      <c r="E643" t="s">
        <v>74</v>
      </c>
      <c r="F643" t="s">
        <v>9075</v>
      </c>
      <c r="G643" t="s">
        <v>74</v>
      </c>
      <c r="H643" t="s">
        <v>74</v>
      </c>
      <c r="I643" t="s">
        <v>9076</v>
      </c>
      <c r="J643" t="s">
        <v>5223</v>
      </c>
      <c r="K643" t="s">
        <v>74</v>
      </c>
      <c r="L643" t="s">
        <v>74</v>
      </c>
      <c r="M643" t="s">
        <v>78</v>
      </c>
      <c r="N643" t="s">
        <v>775</v>
      </c>
      <c r="O643" t="s">
        <v>74</v>
      </c>
      <c r="P643" t="s">
        <v>74</v>
      </c>
      <c r="Q643" t="s">
        <v>74</v>
      </c>
      <c r="R643" t="s">
        <v>74</v>
      </c>
      <c r="S643" t="s">
        <v>74</v>
      </c>
      <c r="T643" t="s">
        <v>9077</v>
      </c>
      <c r="U643" t="s">
        <v>9078</v>
      </c>
      <c r="V643" t="s">
        <v>9079</v>
      </c>
      <c r="W643" t="s">
        <v>9080</v>
      </c>
      <c r="X643" t="s">
        <v>9081</v>
      </c>
      <c r="Y643" t="s">
        <v>489</v>
      </c>
      <c r="Z643" t="s">
        <v>9082</v>
      </c>
      <c r="AA643" t="s">
        <v>5530</v>
      </c>
      <c r="AB643" t="s">
        <v>5531</v>
      </c>
      <c r="AC643" t="s">
        <v>74</v>
      </c>
      <c r="AD643" t="s">
        <v>74</v>
      </c>
      <c r="AE643" t="s">
        <v>74</v>
      </c>
      <c r="AF643" t="s">
        <v>74</v>
      </c>
      <c r="AG643">
        <v>34</v>
      </c>
      <c r="AH643">
        <v>17</v>
      </c>
      <c r="AI643">
        <v>17</v>
      </c>
      <c r="AJ643">
        <v>0</v>
      </c>
      <c r="AK643">
        <v>2</v>
      </c>
      <c r="AL643" t="s">
        <v>387</v>
      </c>
      <c r="AM643" t="s">
        <v>388</v>
      </c>
      <c r="AN643" t="s">
        <v>389</v>
      </c>
      <c r="AO643" t="s">
        <v>5231</v>
      </c>
      <c r="AP643" t="s">
        <v>5232</v>
      </c>
      <c r="AQ643" t="s">
        <v>74</v>
      </c>
      <c r="AR643" t="s">
        <v>5233</v>
      </c>
      <c r="AS643" t="s">
        <v>5234</v>
      </c>
      <c r="AT643" t="s">
        <v>8551</v>
      </c>
      <c r="AU643">
        <v>2002</v>
      </c>
      <c r="AV643">
        <v>107</v>
      </c>
      <c r="AW643" t="s">
        <v>9083</v>
      </c>
      <c r="AX643" t="s">
        <v>74</v>
      </c>
      <c r="AY643" t="s">
        <v>74</v>
      </c>
      <c r="AZ643" t="s">
        <v>74</v>
      </c>
      <c r="BA643" t="s">
        <v>74</v>
      </c>
      <c r="BB643" t="s">
        <v>74</v>
      </c>
      <c r="BC643" t="s">
        <v>74</v>
      </c>
      <c r="BD643">
        <v>1323</v>
      </c>
      <c r="BE643" t="s">
        <v>9084</v>
      </c>
      <c r="BF643" t="str">
        <f>HYPERLINK("http://dx.doi.org/10.1029/2001JA009124","http://dx.doi.org/10.1029/2001JA009124")</f>
        <v>http://dx.doi.org/10.1029/2001JA009124</v>
      </c>
      <c r="BG643" t="s">
        <v>74</v>
      </c>
      <c r="BH643" t="s">
        <v>74</v>
      </c>
      <c r="BI643">
        <v>15</v>
      </c>
      <c r="BJ643" t="s">
        <v>4840</v>
      </c>
      <c r="BK643" t="s">
        <v>569</v>
      </c>
      <c r="BL643" t="s">
        <v>4840</v>
      </c>
      <c r="BM643" t="s">
        <v>9085</v>
      </c>
      <c r="BN643" t="s">
        <v>74</v>
      </c>
      <c r="BO643" t="s">
        <v>74</v>
      </c>
      <c r="BP643" t="s">
        <v>74</v>
      </c>
      <c r="BQ643" t="s">
        <v>74</v>
      </c>
      <c r="BR643" t="s">
        <v>98</v>
      </c>
      <c r="BS643" t="s">
        <v>9086</v>
      </c>
      <c r="BT643" t="str">
        <f>HYPERLINK("https%3A%2F%2Fwww.webofscience.com%2Fwos%2Fwoscc%2Ffull-record%2FWOS:000180353900058","View Full Record in Web of Science")</f>
        <v>View Full Record in Web of Science</v>
      </c>
    </row>
    <row r="644" spans="1:72" x14ac:dyDescent="0.15">
      <c r="A644" t="s">
        <v>552</v>
      </c>
      <c r="B644" t="s">
        <v>9087</v>
      </c>
      <c r="C644" t="s">
        <v>74</v>
      </c>
      <c r="D644" t="s">
        <v>74</v>
      </c>
      <c r="E644" t="s">
        <v>74</v>
      </c>
      <c r="F644" t="s">
        <v>9087</v>
      </c>
      <c r="G644" t="s">
        <v>74</v>
      </c>
      <c r="H644" t="s">
        <v>74</v>
      </c>
      <c r="I644" t="s">
        <v>9088</v>
      </c>
      <c r="J644" t="s">
        <v>5223</v>
      </c>
      <c r="K644" t="s">
        <v>74</v>
      </c>
      <c r="L644" t="s">
        <v>74</v>
      </c>
      <c r="M644" t="s">
        <v>78</v>
      </c>
      <c r="N644" t="s">
        <v>775</v>
      </c>
      <c r="O644" t="s">
        <v>74</v>
      </c>
      <c r="P644" t="s">
        <v>74</v>
      </c>
      <c r="Q644" t="s">
        <v>74</v>
      </c>
      <c r="R644" t="s">
        <v>74</v>
      </c>
      <c r="S644" t="s">
        <v>74</v>
      </c>
      <c r="T644" t="s">
        <v>9089</v>
      </c>
      <c r="U644" t="s">
        <v>9090</v>
      </c>
      <c r="V644" t="s">
        <v>9091</v>
      </c>
      <c r="W644" t="s">
        <v>9092</v>
      </c>
      <c r="X644" t="s">
        <v>9093</v>
      </c>
      <c r="Y644" t="s">
        <v>9094</v>
      </c>
      <c r="Z644" t="s">
        <v>74</v>
      </c>
      <c r="AA644" t="s">
        <v>74</v>
      </c>
      <c r="AB644" t="s">
        <v>9095</v>
      </c>
      <c r="AC644" t="s">
        <v>74</v>
      </c>
      <c r="AD644" t="s">
        <v>74</v>
      </c>
      <c r="AE644" t="s">
        <v>74</v>
      </c>
      <c r="AF644" t="s">
        <v>74</v>
      </c>
      <c r="AG644">
        <v>36</v>
      </c>
      <c r="AH644">
        <v>23</v>
      </c>
      <c r="AI644">
        <v>24</v>
      </c>
      <c r="AJ644">
        <v>0</v>
      </c>
      <c r="AK644">
        <v>4</v>
      </c>
      <c r="AL644" t="s">
        <v>387</v>
      </c>
      <c r="AM644" t="s">
        <v>388</v>
      </c>
      <c r="AN644" t="s">
        <v>389</v>
      </c>
      <c r="AO644" t="s">
        <v>5231</v>
      </c>
      <c r="AP644" t="s">
        <v>5232</v>
      </c>
      <c r="AQ644" t="s">
        <v>74</v>
      </c>
      <c r="AR644" t="s">
        <v>5233</v>
      </c>
      <c r="AS644" t="s">
        <v>5234</v>
      </c>
      <c r="AT644" t="s">
        <v>8551</v>
      </c>
      <c r="AU644">
        <v>2002</v>
      </c>
      <c r="AV644">
        <v>107</v>
      </c>
      <c r="AW644" t="s">
        <v>9083</v>
      </c>
      <c r="AX644" t="s">
        <v>74</v>
      </c>
      <c r="AY644" t="s">
        <v>74</v>
      </c>
      <c r="AZ644" t="s">
        <v>74</v>
      </c>
      <c r="BA644" t="s">
        <v>74</v>
      </c>
      <c r="BB644" t="s">
        <v>74</v>
      </c>
      <c r="BC644" t="s">
        <v>74</v>
      </c>
      <c r="BD644">
        <v>1306</v>
      </c>
      <c r="BE644" t="s">
        <v>9096</v>
      </c>
      <c r="BF644" t="str">
        <f>HYPERLINK("http://dx.doi.org/10.1029/2002JA009456","http://dx.doi.org/10.1029/2002JA009456")</f>
        <v>http://dx.doi.org/10.1029/2002JA009456</v>
      </c>
      <c r="BG644" t="s">
        <v>74</v>
      </c>
      <c r="BH644" t="s">
        <v>74</v>
      </c>
      <c r="BI644">
        <v>13</v>
      </c>
      <c r="BJ644" t="s">
        <v>4840</v>
      </c>
      <c r="BK644" t="s">
        <v>569</v>
      </c>
      <c r="BL644" t="s">
        <v>4840</v>
      </c>
      <c r="BM644" t="s">
        <v>9085</v>
      </c>
      <c r="BN644" t="s">
        <v>74</v>
      </c>
      <c r="BO644" t="s">
        <v>572</v>
      </c>
      <c r="BP644" t="s">
        <v>74</v>
      </c>
      <c r="BQ644" t="s">
        <v>74</v>
      </c>
      <c r="BR644" t="s">
        <v>98</v>
      </c>
      <c r="BS644" t="s">
        <v>9097</v>
      </c>
      <c r="BT644" t="str">
        <f>HYPERLINK("https%3A%2F%2Fwww.webofscience.com%2Fwos%2Fwoscc%2Ffull-record%2FWOS:000180353900041","View Full Record in Web of Science")</f>
        <v>View Full Record in Web of Science</v>
      </c>
    </row>
    <row r="645" spans="1:72" x14ac:dyDescent="0.15">
      <c r="A645" t="s">
        <v>552</v>
      </c>
      <c r="B645" t="s">
        <v>9098</v>
      </c>
      <c r="C645" t="s">
        <v>74</v>
      </c>
      <c r="D645" t="s">
        <v>74</v>
      </c>
      <c r="E645" t="s">
        <v>74</v>
      </c>
      <c r="F645" t="s">
        <v>9098</v>
      </c>
      <c r="G645" t="s">
        <v>74</v>
      </c>
      <c r="H645" t="s">
        <v>74</v>
      </c>
      <c r="I645" t="s">
        <v>9099</v>
      </c>
      <c r="J645" t="s">
        <v>5223</v>
      </c>
      <c r="K645" t="s">
        <v>74</v>
      </c>
      <c r="L645" t="s">
        <v>74</v>
      </c>
      <c r="M645" t="s">
        <v>78</v>
      </c>
      <c r="N645" t="s">
        <v>775</v>
      </c>
      <c r="O645" t="s">
        <v>74</v>
      </c>
      <c r="P645" t="s">
        <v>74</v>
      </c>
      <c r="Q645" t="s">
        <v>74</v>
      </c>
      <c r="R645" t="s">
        <v>74</v>
      </c>
      <c r="S645" t="s">
        <v>74</v>
      </c>
      <c r="T645" t="s">
        <v>9100</v>
      </c>
      <c r="U645" t="s">
        <v>9101</v>
      </c>
      <c r="V645" t="s">
        <v>9102</v>
      </c>
      <c r="W645" t="s">
        <v>9103</v>
      </c>
      <c r="X645" t="s">
        <v>9104</v>
      </c>
      <c r="Y645" t="s">
        <v>9105</v>
      </c>
      <c r="Z645" t="s">
        <v>9106</v>
      </c>
      <c r="AA645" t="s">
        <v>74</v>
      </c>
      <c r="AB645" t="s">
        <v>74</v>
      </c>
      <c r="AC645" t="s">
        <v>74</v>
      </c>
      <c r="AD645" t="s">
        <v>74</v>
      </c>
      <c r="AE645" t="s">
        <v>74</v>
      </c>
      <c r="AF645" t="s">
        <v>74</v>
      </c>
      <c r="AG645">
        <v>29</v>
      </c>
      <c r="AH645">
        <v>13</v>
      </c>
      <c r="AI645">
        <v>13</v>
      </c>
      <c r="AJ645">
        <v>0</v>
      </c>
      <c r="AK645">
        <v>0</v>
      </c>
      <c r="AL645" t="s">
        <v>387</v>
      </c>
      <c r="AM645" t="s">
        <v>388</v>
      </c>
      <c r="AN645" t="s">
        <v>389</v>
      </c>
      <c r="AO645" t="s">
        <v>5231</v>
      </c>
      <c r="AP645" t="s">
        <v>5232</v>
      </c>
      <c r="AQ645" t="s">
        <v>74</v>
      </c>
      <c r="AR645" t="s">
        <v>5233</v>
      </c>
      <c r="AS645" t="s">
        <v>5234</v>
      </c>
      <c r="AT645" t="s">
        <v>8551</v>
      </c>
      <c r="AU645">
        <v>2002</v>
      </c>
      <c r="AV645">
        <v>107</v>
      </c>
      <c r="AW645" t="s">
        <v>9083</v>
      </c>
      <c r="AX645" t="s">
        <v>74</v>
      </c>
      <c r="AY645" t="s">
        <v>74</v>
      </c>
      <c r="AZ645" t="s">
        <v>74</v>
      </c>
      <c r="BA645" t="s">
        <v>74</v>
      </c>
      <c r="BB645" t="s">
        <v>74</v>
      </c>
      <c r="BC645" t="s">
        <v>74</v>
      </c>
      <c r="BD645">
        <v>1268</v>
      </c>
      <c r="BE645" t="s">
        <v>9107</v>
      </c>
      <c r="BF645" t="str">
        <f>HYPERLINK("http://dx.doi.org/10.1029/2000JA000463","http://dx.doi.org/10.1029/2000JA000463")</f>
        <v>http://dx.doi.org/10.1029/2000JA000463</v>
      </c>
      <c r="BG645" t="s">
        <v>74</v>
      </c>
      <c r="BH645" t="s">
        <v>74</v>
      </c>
      <c r="BI645">
        <v>11</v>
      </c>
      <c r="BJ645" t="s">
        <v>4840</v>
      </c>
      <c r="BK645" t="s">
        <v>569</v>
      </c>
      <c r="BL645" t="s">
        <v>4840</v>
      </c>
      <c r="BM645" t="s">
        <v>9085</v>
      </c>
      <c r="BN645" t="s">
        <v>74</v>
      </c>
      <c r="BO645" t="s">
        <v>572</v>
      </c>
      <c r="BP645" t="s">
        <v>74</v>
      </c>
      <c r="BQ645" t="s">
        <v>74</v>
      </c>
      <c r="BR645" t="s">
        <v>98</v>
      </c>
      <c r="BS645" t="s">
        <v>9108</v>
      </c>
      <c r="BT645" t="str">
        <f>HYPERLINK("https%3A%2F%2Fwww.webofscience.com%2Fwos%2Fwoscc%2Ffull-record%2FWOS:000180353900003","View Full Record in Web of Science")</f>
        <v>View Full Record in Web of Science</v>
      </c>
    </row>
    <row r="646" spans="1:72" x14ac:dyDescent="0.15">
      <c r="A646" t="s">
        <v>552</v>
      </c>
      <c r="B646" t="s">
        <v>9109</v>
      </c>
      <c r="C646" t="s">
        <v>74</v>
      </c>
      <c r="D646" t="s">
        <v>74</v>
      </c>
      <c r="E646" t="s">
        <v>74</v>
      </c>
      <c r="F646" t="s">
        <v>9109</v>
      </c>
      <c r="G646" t="s">
        <v>74</v>
      </c>
      <c r="H646" t="s">
        <v>74</v>
      </c>
      <c r="I646" t="s">
        <v>9110</v>
      </c>
      <c r="J646" t="s">
        <v>6990</v>
      </c>
      <c r="K646" t="s">
        <v>74</v>
      </c>
      <c r="L646" t="s">
        <v>74</v>
      </c>
      <c r="M646" t="s">
        <v>78</v>
      </c>
      <c r="N646" t="s">
        <v>775</v>
      </c>
      <c r="O646" t="s">
        <v>74</v>
      </c>
      <c r="P646" t="s">
        <v>74</v>
      </c>
      <c r="Q646" t="s">
        <v>74</v>
      </c>
      <c r="R646" t="s">
        <v>74</v>
      </c>
      <c r="S646" t="s">
        <v>74</v>
      </c>
      <c r="T646" t="s">
        <v>9111</v>
      </c>
      <c r="U646" t="s">
        <v>9112</v>
      </c>
      <c r="V646" t="s">
        <v>9113</v>
      </c>
      <c r="W646" t="s">
        <v>9114</v>
      </c>
      <c r="X646" t="s">
        <v>9115</v>
      </c>
      <c r="Y646" t="s">
        <v>9116</v>
      </c>
      <c r="Z646" t="s">
        <v>9117</v>
      </c>
      <c r="AA646" t="s">
        <v>9118</v>
      </c>
      <c r="AB646" t="s">
        <v>9119</v>
      </c>
      <c r="AC646" t="s">
        <v>74</v>
      </c>
      <c r="AD646" t="s">
        <v>74</v>
      </c>
      <c r="AE646" t="s">
        <v>74</v>
      </c>
      <c r="AF646" t="s">
        <v>74</v>
      </c>
      <c r="AG646">
        <v>51</v>
      </c>
      <c r="AH646">
        <v>74</v>
      </c>
      <c r="AI646">
        <v>78</v>
      </c>
      <c r="AJ646">
        <v>0</v>
      </c>
      <c r="AK646">
        <v>12</v>
      </c>
      <c r="AL646" t="s">
        <v>3155</v>
      </c>
      <c r="AM646" t="s">
        <v>1861</v>
      </c>
      <c r="AN646" t="s">
        <v>3156</v>
      </c>
      <c r="AO646" t="s">
        <v>7002</v>
      </c>
      <c r="AP646" t="s">
        <v>7049</v>
      </c>
      <c r="AQ646" t="s">
        <v>74</v>
      </c>
      <c r="AR646" t="s">
        <v>7003</v>
      </c>
      <c r="AS646" t="s">
        <v>7004</v>
      </c>
      <c r="AT646" t="s">
        <v>8551</v>
      </c>
      <c r="AU646">
        <v>2002</v>
      </c>
      <c r="AV646">
        <v>36</v>
      </c>
      <c r="AW646" t="s">
        <v>1424</v>
      </c>
      <c r="AX646" t="s">
        <v>74</v>
      </c>
      <c r="AY646" t="s">
        <v>74</v>
      </c>
      <c r="AZ646" t="s">
        <v>74</v>
      </c>
      <c r="BA646" t="s">
        <v>74</v>
      </c>
      <c r="BB646">
        <v>129</v>
      </c>
      <c r="BC646">
        <v>143</v>
      </c>
      <c r="BD646" t="s">
        <v>9120</v>
      </c>
      <c r="BE646" t="s">
        <v>9121</v>
      </c>
      <c r="BF646" t="str">
        <f>HYPERLINK("http://dx.doi.org/10.1016/S0924-7963(02)00183-5","http://dx.doi.org/10.1016/S0924-7963(02)00183-5")</f>
        <v>http://dx.doi.org/10.1016/S0924-7963(02)00183-5</v>
      </c>
      <c r="BG646" t="s">
        <v>74</v>
      </c>
      <c r="BH646" t="s">
        <v>74</v>
      </c>
      <c r="BI646">
        <v>15</v>
      </c>
      <c r="BJ646" t="s">
        <v>7007</v>
      </c>
      <c r="BK646" t="s">
        <v>569</v>
      </c>
      <c r="BL646" t="s">
        <v>7008</v>
      </c>
      <c r="BM646" t="s">
        <v>9122</v>
      </c>
      <c r="BN646" t="s">
        <v>74</v>
      </c>
      <c r="BO646" t="s">
        <v>74</v>
      </c>
      <c r="BP646" t="s">
        <v>74</v>
      </c>
      <c r="BQ646" t="s">
        <v>74</v>
      </c>
      <c r="BR646" t="s">
        <v>98</v>
      </c>
      <c r="BS646" t="s">
        <v>9123</v>
      </c>
      <c r="BT646" t="str">
        <f>HYPERLINK("https%3A%2F%2Fwww.webofscience.com%2Fwos%2Fwoscc%2Ffull-record%2FWOS:000178982400001","View Full Record in Web of Science")</f>
        <v>View Full Record in Web of Science</v>
      </c>
    </row>
    <row r="647" spans="1:72" x14ac:dyDescent="0.15">
      <c r="A647" t="s">
        <v>552</v>
      </c>
      <c r="B647" t="s">
        <v>9124</v>
      </c>
      <c r="C647" t="s">
        <v>74</v>
      </c>
      <c r="D647" t="s">
        <v>74</v>
      </c>
      <c r="E647" t="s">
        <v>74</v>
      </c>
      <c r="F647" t="s">
        <v>9124</v>
      </c>
      <c r="G647" t="s">
        <v>74</v>
      </c>
      <c r="H647" t="s">
        <v>74</v>
      </c>
      <c r="I647" t="s">
        <v>9125</v>
      </c>
      <c r="J647" t="s">
        <v>9126</v>
      </c>
      <c r="K647" t="s">
        <v>74</v>
      </c>
      <c r="L647" t="s">
        <v>74</v>
      </c>
      <c r="M647" t="s">
        <v>78</v>
      </c>
      <c r="N647" t="s">
        <v>1114</v>
      </c>
      <c r="O647" t="s">
        <v>74</v>
      </c>
      <c r="P647" t="s">
        <v>74</v>
      </c>
      <c r="Q647" t="s">
        <v>74</v>
      </c>
      <c r="R647" t="s">
        <v>74</v>
      </c>
      <c r="S647" t="s">
        <v>74</v>
      </c>
      <c r="T647" t="s">
        <v>9127</v>
      </c>
      <c r="U647" t="s">
        <v>9128</v>
      </c>
      <c r="V647" t="s">
        <v>9129</v>
      </c>
      <c r="W647" t="s">
        <v>9130</v>
      </c>
      <c r="X647" t="s">
        <v>9131</v>
      </c>
      <c r="Y647" t="s">
        <v>9132</v>
      </c>
      <c r="Z647" t="s">
        <v>9133</v>
      </c>
      <c r="AA647" t="s">
        <v>9134</v>
      </c>
      <c r="AB647" t="s">
        <v>9135</v>
      </c>
      <c r="AC647" t="s">
        <v>74</v>
      </c>
      <c r="AD647" t="s">
        <v>74</v>
      </c>
      <c r="AE647" t="s">
        <v>74</v>
      </c>
      <c r="AF647" t="s">
        <v>74</v>
      </c>
      <c r="AG647">
        <v>182</v>
      </c>
      <c r="AH647">
        <v>252</v>
      </c>
      <c r="AI647">
        <v>272</v>
      </c>
      <c r="AJ647">
        <v>1</v>
      </c>
      <c r="AK647">
        <v>76</v>
      </c>
      <c r="AL647" t="s">
        <v>1147</v>
      </c>
      <c r="AM647" t="s">
        <v>1148</v>
      </c>
      <c r="AN647" t="s">
        <v>1149</v>
      </c>
      <c r="AO647" t="s">
        <v>9136</v>
      </c>
      <c r="AP647" t="s">
        <v>9137</v>
      </c>
      <c r="AQ647" t="s">
        <v>74</v>
      </c>
      <c r="AR647" t="s">
        <v>9138</v>
      </c>
      <c r="AS647" t="s">
        <v>9139</v>
      </c>
      <c r="AT647" t="s">
        <v>8551</v>
      </c>
      <c r="AU647">
        <v>2002</v>
      </c>
      <c r="AV647">
        <v>38</v>
      </c>
      <c r="AW647">
        <v>5</v>
      </c>
      <c r="AX647" t="s">
        <v>74</v>
      </c>
      <c r="AY647" t="s">
        <v>74</v>
      </c>
      <c r="AZ647" t="s">
        <v>74</v>
      </c>
      <c r="BA647" t="s">
        <v>74</v>
      </c>
      <c r="BB647">
        <v>844</v>
      </c>
      <c r="BC647">
        <v>861</v>
      </c>
      <c r="BD647" t="s">
        <v>74</v>
      </c>
      <c r="BE647" t="s">
        <v>9140</v>
      </c>
      <c r="BF647" t="str">
        <f>HYPERLINK("http://dx.doi.org/10.1046/j.1529-8817.2002.t01-1-01203.x","http://dx.doi.org/10.1046/j.1529-8817.2002.t01-1-01203.x")</f>
        <v>http://dx.doi.org/10.1046/j.1529-8817.2002.t01-1-01203.x</v>
      </c>
      <c r="BG647" t="s">
        <v>74</v>
      </c>
      <c r="BH647" t="s">
        <v>74</v>
      </c>
      <c r="BI647">
        <v>18</v>
      </c>
      <c r="BJ647" t="s">
        <v>970</v>
      </c>
      <c r="BK647" t="s">
        <v>569</v>
      </c>
      <c r="BL647" t="s">
        <v>970</v>
      </c>
      <c r="BM647" t="s">
        <v>9141</v>
      </c>
      <c r="BN647" t="s">
        <v>74</v>
      </c>
      <c r="BO647" t="s">
        <v>74</v>
      </c>
      <c r="BP647" t="s">
        <v>74</v>
      </c>
      <c r="BQ647" t="s">
        <v>74</v>
      </c>
      <c r="BR647" t="s">
        <v>98</v>
      </c>
      <c r="BS647" t="s">
        <v>9142</v>
      </c>
      <c r="BT647" t="str">
        <f>HYPERLINK("https%3A%2F%2Fwww.webofscience.com%2Fwos%2Fwoscc%2Ffull-record%2FWOS:000178849400002","View Full Record in Web of Science")</f>
        <v>View Full Record in Web of Science</v>
      </c>
    </row>
    <row r="648" spans="1:72" x14ac:dyDescent="0.15">
      <c r="A648" t="s">
        <v>552</v>
      </c>
      <c r="B648" t="s">
        <v>9143</v>
      </c>
      <c r="C648" t="s">
        <v>74</v>
      </c>
      <c r="D648" t="s">
        <v>74</v>
      </c>
      <c r="E648" t="s">
        <v>74</v>
      </c>
      <c r="F648" t="s">
        <v>9143</v>
      </c>
      <c r="G648" t="s">
        <v>74</v>
      </c>
      <c r="H648" t="s">
        <v>74</v>
      </c>
      <c r="I648" t="s">
        <v>9144</v>
      </c>
      <c r="J648" t="s">
        <v>9126</v>
      </c>
      <c r="K648" t="s">
        <v>74</v>
      </c>
      <c r="L648" t="s">
        <v>74</v>
      </c>
      <c r="M648" t="s">
        <v>78</v>
      </c>
      <c r="N648" t="s">
        <v>775</v>
      </c>
      <c r="O648" t="s">
        <v>74</v>
      </c>
      <c r="P648" t="s">
        <v>74</v>
      </c>
      <c r="Q648" t="s">
        <v>74</v>
      </c>
      <c r="R648" t="s">
        <v>74</v>
      </c>
      <c r="S648" t="s">
        <v>74</v>
      </c>
      <c r="T648" t="s">
        <v>9145</v>
      </c>
      <c r="U648" t="s">
        <v>9146</v>
      </c>
      <c r="V648" t="s">
        <v>9147</v>
      </c>
      <c r="W648" t="s">
        <v>9148</v>
      </c>
      <c r="X648" t="s">
        <v>9149</v>
      </c>
      <c r="Y648" t="s">
        <v>9150</v>
      </c>
      <c r="Z648" t="s">
        <v>74</v>
      </c>
      <c r="AA648" t="s">
        <v>74</v>
      </c>
      <c r="AB648" t="s">
        <v>74</v>
      </c>
      <c r="AC648" t="s">
        <v>74</v>
      </c>
      <c r="AD648" t="s">
        <v>74</v>
      </c>
      <c r="AE648" t="s">
        <v>74</v>
      </c>
      <c r="AF648" t="s">
        <v>74</v>
      </c>
      <c r="AG648">
        <v>58</v>
      </c>
      <c r="AH648">
        <v>57</v>
      </c>
      <c r="AI648">
        <v>62</v>
      </c>
      <c r="AJ648">
        <v>3</v>
      </c>
      <c r="AK648">
        <v>22</v>
      </c>
      <c r="AL648" t="s">
        <v>9151</v>
      </c>
      <c r="AM648" t="s">
        <v>834</v>
      </c>
      <c r="AN648" t="s">
        <v>9152</v>
      </c>
      <c r="AO648" t="s">
        <v>9136</v>
      </c>
      <c r="AP648" t="s">
        <v>74</v>
      </c>
      <c r="AQ648" t="s">
        <v>74</v>
      </c>
      <c r="AR648" t="s">
        <v>9138</v>
      </c>
      <c r="AS648" t="s">
        <v>9139</v>
      </c>
      <c r="AT648" t="s">
        <v>8551</v>
      </c>
      <c r="AU648">
        <v>2002</v>
      </c>
      <c r="AV648">
        <v>38</v>
      </c>
      <c r="AW648">
        <v>5</v>
      </c>
      <c r="AX648" t="s">
        <v>74</v>
      </c>
      <c r="AY648" t="s">
        <v>74</v>
      </c>
      <c r="AZ648" t="s">
        <v>74</v>
      </c>
      <c r="BA648" t="s">
        <v>74</v>
      </c>
      <c r="BB648">
        <v>904</v>
      </c>
      <c r="BC648">
        <v>913</v>
      </c>
      <c r="BD648" t="s">
        <v>74</v>
      </c>
      <c r="BE648" t="s">
        <v>9153</v>
      </c>
      <c r="BF648" t="str">
        <f>HYPERLINK("http://dx.doi.org/10.1046/j.1529-8817.2002.t01-1-01071.x","http://dx.doi.org/10.1046/j.1529-8817.2002.t01-1-01071.x")</f>
        <v>http://dx.doi.org/10.1046/j.1529-8817.2002.t01-1-01071.x</v>
      </c>
      <c r="BG648" t="s">
        <v>74</v>
      </c>
      <c r="BH648" t="s">
        <v>74</v>
      </c>
      <c r="BI648">
        <v>10</v>
      </c>
      <c r="BJ648" t="s">
        <v>970</v>
      </c>
      <c r="BK648" t="s">
        <v>569</v>
      </c>
      <c r="BL648" t="s">
        <v>970</v>
      </c>
      <c r="BM648" t="s">
        <v>9141</v>
      </c>
      <c r="BN648" t="s">
        <v>74</v>
      </c>
      <c r="BO648" t="s">
        <v>74</v>
      </c>
      <c r="BP648" t="s">
        <v>74</v>
      </c>
      <c r="BQ648" t="s">
        <v>74</v>
      </c>
      <c r="BR648" t="s">
        <v>98</v>
      </c>
      <c r="BS648" t="s">
        <v>9154</v>
      </c>
      <c r="BT648" t="str">
        <f>HYPERLINK("https%3A%2F%2Fwww.webofscience.com%2Fwos%2Fwoscc%2Ffull-record%2FWOS:000178849400007","View Full Record in Web of Science")</f>
        <v>View Full Record in Web of Science</v>
      </c>
    </row>
    <row r="649" spans="1:72" x14ac:dyDescent="0.15">
      <c r="A649" t="s">
        <v>552</v>
      </c>
      <c r="B649" t="s">
        <v>9155</v>
      </c>
      <c r="C649" t="s">
        <v>74</v>
      </c>
      <c r="D649" t="s">
        <v>74</v>
      </c>
      <c r="E649" t="s">
        <v>74</v>
      </c>
      <c r="F649" t="s">
        <v>9155</v>
      </c>
      <c r="G649" t="s">
        <v>74</v>
      </c>
      <c r="H649" t="s">
        <v>74</v>
      </c>
      <c r="I649" t="s">
        <v>9156</v>
      </c>
      <c r="J649" t="s">
        <v>6324</v>
      </c>
      <c r="K649" t="s">
        <v>74</v>
      </c>
      <c r="L649" t="s">
        <v>74</v>
      </c>
      <c r="M649" t="s">
        <v>78</v>
      </c>
      <c r="N649" t="s">
        <v>775</v>
      </c>
      <c r="O649" t="s">
        <v>74</v>
      </c>
      <c r="P649" t="s">
        <v>74</v>
      </c>
      <c r="Q649" t="s">
        <v>74</v>
      </c>
      <c r="R649" t="s">
        <v>74</v>
      </c>
      <c r="S649" t="s">
        <v>74</v>
      </c>
      <c r="T649" t="s">
        <v>74</v>
      </c>
      <c r="U649" t="s">
        <v>9157</v>
      </c>
      <c r="V649" t="s">
        <v>9158</v>
      </c>
      <c r="W649" t="s">
        <v>9159</v>
      </c>
      <c r="X649" t="s">
        <v>2648</v>
      </c>
      <c r="Y649" t="s">
        <v>9160</v>
      </c>
      <c r="Z649" t="s">
        <v>74</v>
      </c>
      <c r="AA649" t="s">
        <v>9161</v>
      </c>
      <c r="AB649" t="s">
        <v>9162</v>
      </c>
      <c r="AC649" t="s">
        <v>74</v>
      </c>
      <c r="AD649" t="s">
        <v>74</v>
      </c>
      <c r="AE649" t="s">
        <v>74</v>
      </c>
      <c r="AF649" t="s">
        <v>74</v>
      </c>
      <c r="AG649">
        <v>24</v>
      </c>
      <c r="AH649">
        <v>33</v>
      </c>
      <c r="AI649">
        <v>34</v>
      </c>
      <c r="AJ649">
        <v>0</v>
      </c>
      <c r="AK649">
        <v>3</v>
      </c>
      <c r="AL649" t="s">
        <v>2652</v>
      </c>
      <c r="AM649" t="s">
        <v>2653</v>
      </c>
      <c r="AN649" t="s">
        <v>2654</v>
      </c>
      <c r="AO649" t="s">
        <v>6332</v>
      </c>
      <c r="AP649" t="s">
        <v>74</v>
      </c>
      <c r="AQ649" t="s">
        <v>74</v>
      </c>
      <c r="AR649" t="s">
        <v>6334</v>
      </c>
      <c r="AS649" t="s">
        <v>6335</v>
      </c>
      <c r="AT649" t="s">
        <v>8551</v>
      </c>
      <c r="AU649">
        <v>2002</v>
      </c>
      <c r="AV649">
        <v>32</v>
      </c>
      <c r="AW649">
        <v>10</v>
      </c>
      <c r="AX649" t="s">
        <v>74</v>
      </c>
      <c r="AY649" t="s">
        <v>74</v>
      </c>
      <c r="AZ649" t="s">
        <v>74</v>
      </c>
      <c r="BA649" t="s">
        <v>74</v>
      </c>
      <c r="BB649">
        <v>2816</v>
      </c>
      <c r="BC649">
        <v>2827</v>
      </c>
      <c r="BD649" t="s">
        <v>74</v>
      </c>
      <c r="BE649" t="s">
        <v>9163</v>
      </c>
      <c r="BF649" t="str">
        <f>HYPERLINK("http://dx.doi.org/10.1175/1520-0485(2002)032&lt;2816:CTIOSM&gt;2.0.CO;2","http://dx.doi.org/10.1175/1520-0485(2002)032&lt;2816:CTIOSM&gt;2.0.CO;2")</f>
        <v>http://dx.doi.org/10.1175/1520-0485(2002)032&lt;2816:CTIOSM&gt;2.0.CO;2</v>
      </c>
      <c r="BG649" t="s">
        <v>74</v>
      </c>
      <c r="BH649" t="s">
        <v>74</v>
      </c>
      <c r="BI649">
        <v>12</v>
      </c>
      <c r="BJ649" t="s">
        <v>1394</v>
      </c>
      <c r="BK649" t="s">
        <v>569</v>
      </c>
      <c r="BL649" t="s">
        <v>1394</v>
      </c>
      <c r="BM649" t="s">
        <v>9164</v>
      </c>
      <c r="BN649" t="s">
        <v>74</v>
      </c>
      <c r="BO649" t="s">
        <v>2660</v>
      </c>
      <c r="BP649" t="s">
        <v>74</v>
      </c>
      <c r="BQ649" t="s">
        <v>74</v>
      </c>
      <c r="BR649" t="s">
        <v>98</v>
      </c>
      <c r="BS649" t="s">
        <v>9165</v>
      </c>
      <c r="BT649" t="str">
        <f>HYPERLINK("https%3A%2F%2Fwww.webofscience.com%2Fwos%2Fwoscc%2Ffull-record%2FWOS:000178078800007","View Full Record in Web of Science")</f>
        <v>View Full Record in Web of Science</v>
      </c>
    </row>
    <row r="650" spans="1:72" x14ac:dyDescent="0.15">
      <c r="A650" t="s">
        <v>552</v>
      </c>
      <c r="B650" t="s">
        <v>9166</v>
      </c>
      <c r="C650" t="s">
        <v>74</v>
      </c>
      <c r="D650" t="s">
        <v>74</v>
      </c>
      <c r="E650" t="s">
        <v>74</v>
      </c>
      <c r="F650" t="s">
        <v>9166</v>
      </c>
      <c r="G650" t="s">
        <v>74</v>
      </c>
      <c r="H650" t="s">
        <v>74</v>
      </c>
      <c r="I650" t="s">
        <v>9167</v>
      </c>
      <c r="J650" t="s">
        <v>9168</v>
      </c>
      <c r="K650" t="s">
        <v>74</v>
      </c>
      <c r="L650" t="s">
        <v>74</v>
      </c>
      <c r="M650" t="s">
        <v>78</v>
      </c>
      <c r="N650" t="s">
        <v>52</v>
      </c>
      <c r="O650" t="s">
        <v>9169</v>
      </c>
      <c r="P650" t="s">
        <v>9170</v>
      </c>
      <c r="Q650" t="s">
        <v>9171</v>
      </c>
      <c r="R650" t="s">
        <v>74</v>
      </c>
      <c r="S650" t="s">
        <v>9172</v>
      </c>
      <c r="T650" t="s">
        <v>74</v>
      </c>
      <c r="U650" t="s">
        <v>74</v>
      </c>
      <c r="V650" t="s">
        <v>74</v>
      </c>
      <c r="W650" t="s">
        <v>9173</v>
      </c>
      <c r="X650" t="s">
        <v>9174</v>
      </c>
      <c r="Y650" t="s">
        <v>74</v>
      </c>
      <c r="Z650" t="s">
        <v>74</v>
      </c>
      <c r="AA650" t="s">
        <v>9175</v>
      </c>
      <c r="AB650" t="s">
        <v>9176</v>
      </c>
      <c r="AC650" t="s">
        <v>74</v>
      </c>
      <c r="AD650" t="s">
        <v>74</v>
      </c>
      <c r="AE650" t="s">
        <v>74</v>
      </c>
      <c r="AF650" t="s">
        <v>74</v>
      </c>
      <c r="AG650">
        <v>4</v>
      </c>
      <c r="AH650">
        <v>0</v>
      </c>
      <c r="AI650">
        <v>0</v>
      </c>
      <c r="AJ650">
        <v>0</v>
      </c>
      <c r="AK650">
        <v>1</v>
      </c>
      <c r="AL650" t="s">
        <v>1147</v>
      </c>
      <c r="AM650" t="s">
        <v>1148</v>
      </c>
      <c r="AN650" t="s">
        <v>1149</v>
      </c>
      <c r="AO650" t="s">
        <v>9177</v>
      </c>
      <c r="AP650" t="s">
        <v>9178</v>
      </c>
      <c r="AQ650" t="s">
        <v>74</v>
      </c>
      <c r="AR650" t="s">
        <v>9179</v>
      </c>
      <c r="AS650" t="s">
        <v>9180</v>
      </c>
      <c r="AT650" t="s">
        <v>8551</v>
      </c>
      <c r="AU650">
        <v>2002</v>
      </c>
      <c r="AV650">
        <v>543</v>
      </c>
      <c r="AW650" t="s">
        <v>74</v>
      </c>
      <c r="AX650" t="s">
        <v>74</v>
      </c>
      <c r="AY650" t="s">
        <v>903</v>
      </c>
      <c r="AZ650" t="s">
        <v>74</v>
      </c>
      <c r="BA650" t="s">
        <v>74</v>
      </c>
      <c r="BB650" t="s">
        <v>9181</v>
      </c>
      <c r="BC650" t="s">
        <v>9182</v>
      </c>
      <c r="BD650" t="s">
        <v>74</v>
      </c>
      <c r="BE650" t="s">
        <v>74</v>
      </c>
      <c r="BF650" t="s">
        <v>74</v>
      </c>
      <c r="BG650" t="s">
        <v>74</v>
      </c>
      <c r="BH650" t="s">
        <v>74</v>
      </c>
      <c r="BI650">
        <v>2</v>
      </c>
      <c r="BJ650" t="s">
        <v>9183</v>
      </c>
      <c r="BK650" t="s">
        <v>605</v>
      </c>
      <c r="BL650" t="s">
        <v>9184</v>
      </c>
      <c r="BM650" t="s">
        <v>9185</v>
      </c>
      <c r="BN650" t="s">
        <v>74</v>
      </c>
      <c r="BO650" t="s">
        <v>74</v>
      </c>
      <c r="BP650" t="s">
        <v>74</v>
      </c>
      <c r="BQ650" t="s">
        <v>74</v>
      </c>
      <c r="BR650" t="s">
        <v>98</v>
      </c>
      <c r="BS650" t="s">
        <v>9186</v>
      </c>
      <c r="BT650" t="str">
        <f>HYPERLINK("https%3A%2F%2Fwww.webofscience.com%2Fwos%2Fwoscc%2Ffull-record%2FWOS:000179074100084","View Full Record in Web of Science")</f>
        <v>View Full Record in Web of Science</v>
      </c>
    </row>
    <row r="651" spans="1:72" x14ac:dyDescent="0.15">
      <c r="A651" t="s">
        <v>552</v>
      </c>
      <c r="B651" t="s">
        <v>9187</v>
      </c>
      <c r="C651" t="s">
        <v>74</v>
      </c>
      <c r="D651" t="s">
        <v>74</v>
      </c>
      <c r="E651" t="s">
        <v>74</v>
      </c>
      <c r="F651" t="s">
        <v>9187</v>
      </c>
      <c r="G651" t="s">
        <v>74</v>
      </c>
      <c r="H651" t="s">
        <v>74</v>
      </c>
      <c r="I651" t="s">
        <v>9188</v>
      </c>
      <c r="J651" t="s">
        <v>6362</v>
      </c>
      <c r="K651" t="s">
        <v>74</v>
      </c>
      <c r="L651" t="s">
        <v>74</v>
      </c>
      <c r="M651" t="s">
        <v>78</v>
      </c>
      <c r="N651" t="s">
        <v>775</v>
      </c>
      <c r="O651" t="s">
        <v>74</v>
      </c>
      <c r="P651" t="s">
        <v>74</v>
      </c>
      <c r="Q651" t="s">
        <v>74</v>
      </c>
      <c r="R651" t="s">
        <v>74</v>
      </c>
      <c r="S651" t="s">
        <v>74</v>
      </c>
      <c r="T651" t="s">
        <v>74</v>
      </c>
      <c r="U651" t="s">
        <v>9189</v>
      </c>
      <c r="V651" t="s">
        <v>9190</v>
      </c>
      <c r="W651" t="s">
        <v>9191</v>
      </c>
      <c r="X651" t="s">
        <v>9192</v>
      </c>
      <c r="Y651" t="s">
        <v>9193</v>
      </c>
      <c r="Z651" t="s">
        <v>9194</v>
      </c>
      <c r="AA651" t="s">
        <v>9195</v>
      </c>
      <c r="AB651" t="s">
        <v>9196</v>
      </c>
      <c r="AC651" t="s">
        <v>74</v>
      </c>
      <c r="AD651" t="s">
        <v>74</v>
      </c>
      <c r="AE651" t="s">
        <v>74</v>
      </c>
      <c r="AF651" t="s">
        <v>74</v>
      </c>
      <c r="AG651">
        <v>82</v>
      </c>
      <c r="AH651">
        <v>12</v>
      </c>
      <c r="AI651">
        <v>13</v>
      </c>
      <c r="AJ651">
        <v>0</v>
      </c>
      <c r="AK651">
        <v>8</v>
      </c>
      <c r="AL651" t="s">
        <v>942</v>
      </c>
      <c r="AM651" t="s">
        <v>807</v>
      </c>
      <c r="AN651" t="s">
        <v>943</v>
      </c>
      <c r="AO651" t="s">
        <v>6368</v>
      </c>
      <c r="AP651" t="s">
        <v>9197</v>
      </c>
      <c r="AQ651" t="s">
        <v>74</v>
      </c>
      <c r="AR651" t="s">
        <v>6369</v>
      </c>
      <c r="AS651" t="s">
        <v>6370</v>
      </c>
      <c r="AT651" t="s">
        <v>8551</v>
      </c>
      <c r="AU651">
        <v>2002</v>
      </c>
      <c r="AV651">
        <v>24</v>
      </c>
      <c r="AW651">
        <v>10</v>
      </c>
      <c r="AX651" t="s">
        <v>74</v>
      </c>
      <c r="AY651" t="s">
        <v>74</v>
      </c>
      <c r="AZ651" t="s">
        <v>74</v>
      </c>
      <c r="BA651" t="s">
        <v>74</v>
      </c>
      <c r="BB651">
        <v>979</v>
      </c>
      <c r="BC651">
        <v>992</v>
      </c>
      <c r="BD651" t="s">
        <v>74</v>
      </c>
      <c r="BE651" t="s">
        <v>9198</v>
      </c>
      <c r="BF651" t="str">
        <f>HYPERLINK("http://dx.doi.org/10.1093/plankt/24.10.979","http://dx.doi.org/10.1093/plankt/24.10.979")</f>
        <v>http://dx.doi.org/10.1093/plankt/24.10.979</v>
      </c>
      <c r="BG651" t="s">
        <v>74</v>
      </c>
      <c r="BH651" t="s">
        <v>74</v>
      </c>
      <c r="BI651">
        <v>14</v>
      </c>
      <c r="BJ651" t="s">
        <v>3127</v>
      </c>
      <c r="BK651" t="s">
        <v>569</v>
      </c>
      <c r="BL651" t="s">
        <v>3127</v>
      </c>
      <c r="BM651" t="s">
        <v>9199</v>
      </c>
      <c r="BN651" t="s">
        <v>74</v>
      </c>
      <c r="BO651" t="s">
        <v>572</v>
      </c>
      <c r="BP651" t="s">
        <v>74</v>
      </c>
      <c r="BQ651" t="s">
        <v>74</v>
      </c>
      <c r="BR651" t="s">
        <v>98</v>
      </c>
      <c r="BS651" t="s">
        <v>9200</v>
      </c>
      <c r="BT651" t="str">
        <f>HYPERLINK("https%3A%2F%2Fwww.webofscience.com%2Fwos%2Fwoscc%2Ffull-record%2FWOS:000178558900002","View Full Record in Web of Science")</f>
        <v>View Full Record in Web of Science</v>
      </c>
    </row>
    <row r="652" spans="1:72" x14ac:dyDescent="0.15">
      <c r="A652" t="s">
        <v>552</v>
      </c>
      <c r="B652" t="s">
        <v>9201</v>
      </c>
      <c r="C652" t="s">
        <v>74</v>
      </c>
      <c r="D652" t="s">
        <v>74</v>
      </c>
      <c r="E652" t="s">
        <v>74</v>
      </c>
      <c r="F652" t="s">
        <v>9201</v>
      </c>
      <c r="G652" t="s">
        <v>74</v>
      </c>
      <c r="H652" t="s">
        <v>74</v>
      </c>
      <c r="I652" t="s">
        <v>9202</v>
      </c>
      <c r="J652" t="s">
        <v>6362</v>
      </c>
      <c r="K652" t="s">
        <v>74</v>
      </c>
      <c r="L652" t="s">
        <v>74</v>
      </c>
      <c r="M652" t="s">
        <v>78</v>
      </c>
      <c r="N652" t="s">
        <v>775</v>
      </c>
      <c r="O652" t="s">
        <v>74</v>
      </c>
      <c r="P652" t="s">
        <v>74</v>
      </c>
      <c r="Q652" t="s">
        <v>74</v>
      </c>
      <c r="R652" t="s">
        <v>74</v>
      </c>
      <c r="S652" t="s">
        <v>74</v>
      </c>
      <c r="T652" t="s">
        <v>74</v>
      </c>
      <c r="U652" t="s">
        <v>9203</v>
      </c>
      <c r="V652" t="s">
        <v>9204</v>
      </c>
      <c r="W652" t="s">
        <v>9205</v>
      </c>
      <c r="X652" t="s">
        <v>8534</v>
      </c>
      <c r="Y652" t="s">
        <v>9206</v>
      </c>
      <c r="Z652" t="s">
        <v>74</v>
      </c>
      <c r="AA652" t="s">
        <v>74</v>
      </c>
      <c r="AB652" t="s">
        <v>74</v>
      </c>
      <c r="AC652" t="s">
        <v>74</v>
      </c>
      <c r="AD652" t="s">
        <v>74</v>
      </c>
      <c r="AE652" t="s">
        <v>74</v>
      </c>
      <c r="AF652" t="s">
        <v>74</v>
      </c>
      <c r="AG652">
        <v>26</v>
      </c>
      <c r="AH652">
        <v>31</v>
      </c>
      <c r="AI652">
        <v>34</v>
      </c>
      <c r="AJ652">
        <v>0</v>
      </c>
      <c r="AK652">
        <v>12</v>
      </c>
      <c r="AL652" t="s">
        <v>942</v>
      </c>
      <c r="AM652" t="s">
        <v>807</v>
      </c>
      <c r="AN652" t="s">
        <v>943</v>
      </c>
      <c r="AO652" t="s">
        <v>6368</v>
      </c>
      <c r="AP652" t="s">
        <v>74</v>
      </c>
      <c r="AQ652" t="s">
        <v>74</v>
      </c>
      <c r="AR652" t="s">
        <v>6369</v>
      </c>
      <c r="AS652" t="s">
        <v>6370</v>
      </c>
      <c r="AT652" t="s">
        <v>8551</v>
      </c>
      <c r="AU652">
        <v>2002</v>
      </c>
      <c r="AV652">
        <v>24</v>
      </c>
      <c r="AW652">
        <v>10</v>
      </c>
      <c r="AX652" t="s">
        <v>74</v>
      </c>
      <c r="AY652" t="s">
        <v>74</v>
      </c>
      <c r="AZ652" t="s">
        <v>74</v>
      </c>
      <c r="BA652" t="s">
        <v>74</v>
      </c>
      <c r="BB652">
        <v>1067</v>
      </c>
      <c r="BC652">
        <v>1077</v>
      </c>
      <c r="BD652" t="s">
        <v>74</v>
      </c>
      <c r="BE652" t="s">
        <v>9207</v>
      </c>
      <c r="BF652" t="str">
        <f>HYPERLINK("http://dx.doi.org/10.1093/plankt/24.10.1067","http://dx.doi.org/10.1093/plankt/24.10.1067")</f>
        <v>http://dx.doi.org/10.1093/plankt/24.10.1067</v>
      </c>
      <c r="BG652" t="s">
        <v>74</v>
      </c>
      <c r="BH652" t="s">
        <v>74</v>
      </c>
      <c r="BI652">
        <v>11</v>
      </c>
      <c r="BJ652" t="s">
        <v>3127</v>
      </c>
      <c r="BK652" t="s">
        <v>569</v>
      </c>
      <c r="BL652" t="s">
        <v>3127</v>
      </c>
      <c r="BM652" t="s">
        <v>9199</v>
      </c>
      <c r="BN652" t="s">
        <v>74</v>
      </c>
      <c r="BO652" t="s">
        <v>74</v>
      </c>
      <c r="BP652" t="s">
        <v>74</v>
      </c>
      <c r="BQ652" t="s">
        <v>74</v>
      </c>
      <c r="BR652" t="s">
        <v>98</v>
      </c>
      <c r="BS652" t="s">
        <v>9208</v>
      </c>
      <c r="BT652" t="str">
        <f>HYPERLINK("https%3A%2F%2Fwww.webofscience.com%2Fwos%2Fwoscc%2Ffull-record%2FWOS:000178558900009","View Full Record in Web of Science")</f>
        <v>View Full Record in Web of Science</v>
      </c>
    </row>
    <row r="653" spans="1:72" x14ac:dyDescent="0.15">
      <c r="A653" t="s">
        <v>552</v>
      </c>
      <c r="B653" t="s">
        <v>9209</v>
      </c>
      <c r="C653" t="s">
        <v>74</v>
      </c>
      <c r="D653" t="s">
        <v>74</v>
      </c>
      <c r="E653" t="s">
        <v>74</v>
      </c>
      <c r="F653" t="s">
        <v>9209</v>
      </c>
      <c r="G653" t="s">
        <v>74</v>
      </c>
      <c r="H653" t="s">
        <v>74</v>
      </c>
      <c r="I653" t="s">
        <v>9210</v>
      </c>
      <c r="J653" t="s">
        <v>2983</v>
      </c>
      <c r="K653" t="s">
        <v>74</v>
      </c>
      <c r="L653" t="s">
        <v>74</v>
      </c>
      <c r="M653" t="s">
        <v>78</v>
      </c>
      <c r="N653" t="s">
        <v>775</v>
      </c>
      <c r="O653" t="s">
        <v>74</v>
      </c>
      <c r="P653" t="s">
        <v>74</v>
      </c>
      <c r="Q653" t="s">
        <v>74</v>
      </c>
      <c r="R653" t="s">
        <v>74</v>
      </c>
      <c r="S653" t="s">
        <v>74</v>
      </c>
      <c r="T653" t="s">
        <v>9211</v>
      </c>
      <c r="U653" t="s">
        <v>9212</v>
      </c>
      <c r="V653" t="s">
        <v>9213</v>
      </c>
      <c r="W653" t="s">
        <v>9214</v>
      </c>
      <c r="X653" t="s">
        <v>9215</v>
      </c>
      <c r="Y653" t="s">
        <v>9216</v>
      </c>
      <c r="Z653" t="s">
        <v>9217</v>
      </c>
      <c r="AA653" t="s">
        <v>74</v>
      </c>
      <c r="AB653" t="s">
        <v>74</v>
      </c>
      <c r="AC653" t="s">
        <v>74</v>
      </c>
      <c r="AD653" t="s">
        <v>74</v>
      </c>
      <c r="AE653" t="s">
        <v>74</v>
      </c>
      <c r="AF653" t="s">
        <v>74</v>
      </c>
      <c r="AG653">
        <v>36</v>
      </c>
      <c r="AH653">
        <v>54</v>
      </c>
      <c r="AI653">
        <v>65</v>
      </c>
      <c r="AJ653">
        <v>1</v>
      </c>
      <c r="AK653">
        <v>15</v>
      </c>
      <c r="AL653" t="s">
        <v>1147</v>
      </c>
      <c r="AM653" t="s">
        <v>1148</v>
      </c>
      <c r="AN653" t="s">
        <v>1149</v>
      </c>
      <c r="AO653" t="s">
        <v>2993</v>
      </c>
      <c r="AP653" t="s">
        <v>9218</v>
      </c>
      <c r="AQ653" t="s">
        <v>74</v>
      </c>
      <c r="AR653" t="s">
        <v>2994</v>
      </c>
      <c r="AS653" t="s">
        <v>2995</v>
      </c>
      <c r="AT653" t="s">
        <v>8551</v>
      </c>
      <c r="AU653">
        <v>2002</v>
      </c>
      <c r="AV653">
        <v>17</v>
      </c>
      <c r="AW653">
        <v>7</v>
      </c>
      <c r="AX653" t="s">
        <v>74</v>
      </c>
      <c r="AY653" t="s">
        <v>74</v>
      </c>
      <c r="AZ653" t="s">
        <v>74</v>
      </c>
      <c r="BA653" t="s">
        <v>74</v>
      </c>
      <c r="BB653">
        <v>697</v>
      </c>
      <c r="BC653">
        <v>706</v>
      </c>
      <c r="BD653" t="s">
        <v>74</v>
      </c>
      <c r="BE653" t="s">
        <v>9219</v>
      </c>
      <c r="BF653" t="str">
        <f>HYPERLINK("http://dx.doi.org/10.1002/jqs.691","http://dx.doi.org/10.1002/jqs.691")</f>
        <v>http://dx.doi.org/10.1002/jqs.691</v>
      </c>
      <c r="BG653" t="s">
        <v>74</v>
      </c>
      <c r="BH653" t="s">
        <v>74</v>
      </c>
      <c r="BI653">
        <v>10</v>
      </c>
      <c r="BJ653" t="s">
        <v>2348</v>
      </c>
      <c r="BK653" t="s">
        <v>569</v>
      </c>
      <c r="BL653" t="s">
        <v>2349</v>
      </c>
      <c r="BM653" t="s">
        <v>9220</v>
      </c>
      <c r="BN653" t="s">
        <v>74</v>
      </c>
      <c r="BO653" t="s">
        <v>74</v>
      </c>
      <c r="BP653" t="s">
        <v>74</v>
      </c>
      <c r="BQ653" t="s">
        <v>74</v>
      </c>
      <c r="BR653" t="s">
        <v>98</v>
      </c>
      <c r="BS653" t="s">
        <v>9221</v>
      </c>
      <c r="BT653" t="str">
        <f>HYPERLINK("https%3A%2F%2Fwww.webofscience.com%2Fwos%2Fwoscc%2Ffull-record%2FWOS:000179408600007","View Full Record in Web of Science")</f>
        <v>View Full Record in Web of Science</v>
      </c>
    </row>
    <row r="654" spans="1:72" x14ac:dyDescent="0.15">
      <c r="A654" t="s">
        <v>552</v>
      </c>
      <c r="B654" t="s">
        <v>9222</v>
      </c>
      <c r="C654" t="s">
        <v>74</v>
      </c>
      <c r="D654" t="s">
        <v>74</v>
      </c>
      <c r="E654" t="s">
        <v>74</v>
      </c>
      <c r="F654" t="s">
        <v>9222</v>
      </c>
      <c r="G654" t="s">
        <v>74</v>
      </c>
      <c r="H654" t="s">
        <v>74</v>
      </c>
      <c r="I654" t="s">
        <v>9223</v>
      </c>
      <c r="J654" t="s">
        <v>9224</v>
      </c>
      <c r="K654" t="s">
        <v>74</v>
      </c>
      <c r="L654" t="s">
        <v>74</v>
      </c>
      <c r="M654" t="s">
        <v>78</v>
      </c>
      <c r="N654" t="s">
        <v>775</v>
      </c>
      <c r="O654" t="s">
        <v>74</v>
      </c>
      <c r="P654" t="s">
        <v>74</v>
      </c>
      <c r="Q654" t="s">
        <v>74</v>
      </c>
      <c r="R654" t="s">
        <v>74</v>
      </c>
      <c r="S654" t="s">
        <v>74</v>
      </c>
      <c r="T654" t="s">
        <v>9225</v>
      </c>
      <c r="U654" t="s">
        <v>9226</v>
      </c>
      <c r="V654" t="s">
        <v>9227</v>
      </c>
      <c r="W654" t="s">
        <v>9228</v>
      </c>
      <c r="X654" t="s">
        <v>74</v>
      </c>
      <c r="Y654" t="s">
        <v>9229</v>
      </c>
      <c r="Z654" t="s">
        <v>74</v>
      </c>
      <c r="AA654" t="s">
        <v>74</v>
      </c>
      <c r="AB654" t="s">
        <v>74</v>
      </c>
      <c r="AC654" t="s">
        <v>74</v>
      </c>
      <c r="AD654" t="s">
        <v>74</v>
      </c>
      <c r="AE654" t="s">
        <v>74</v>
      </c>
      <c r="AF654" t="s">
        <v>74</v>
      </c>
      <c r="AG654">
        <v>55</v>
      </c>
      <c r="AH654">
        <v>28</v>
      </c>
      <c r="AI654">
        <v>29</v>
      </c>
      <c r="AJ654">
        <v>0</v>
      </c>
      <c r="AK654">
        <v>3</v>
      </c>
      <c r="AL654" t="s">
        <v>806</v>
      </c>
      <c r="AM654" t="s">
        <v>807</v>
      </c>
      <c r="AN654" t="s">
        <v>808</v>
      </c>
      <c r="AO654" t="s">
        <v>9230</v>
      </c>
      <c r="AP654" t="s">
        <v>74</v>
      </c>
      <c r="AQ654" t="s">
        <v>74</v>
      </c>
      <c r="AR654" t="s">
        <v>9231</v>
      </c>
      <c r="AS654" t="s">
        <v>9232</v>
      </c>
      <c r="AT654" t="s">
        <v>8551</v>
      </c>
      <c r="AU654">
        <v>2002</v>
      </c>
      <c r="AV654">
        <v>15</v>
      </c>
      <c r="AW654">
        <v>5</v>
      </c>
      <c r="AX654" t="s">
        <v>74</v>
      </c>
      <c r="AY654" t="s">
        <v>74</v>
      </c>
      <c r="AZ654" t="s">
        <v>74</v>
      </c>
      <c r="BA654" t="s">
        <v>74</v>
      </c>
      <c r="BB654">
        <v>577</v>
      </c>
      <c r="BC654">
        <v>589</v>
      </c>
      <c r="BD654" t="s">
        <v>9233</v>
      </c>
      <c r="BE654" t="s">
        <v>9234</v>
      </c>
      <c r="BF654" t="str">
        <f>HYPERLINK("http://dx.doi.org/10.1016/S0895-9811(02)00076-7","http://dx.doi.org/10.1016/S0895-9811(02)00076-7")</f>
        <v>http://dx.doi.org/10.1016/S0895-9811(02)00076-7</v>
      </c>
      <c r="BG654" t="s">
        <v>74</v>
      </c>
      <c r="BH654" t="s">
        <v>74</v>
      </c>
      <c r="BI654">
        <v>13</v>
      </c>
      <c r="BJ654" t="s">
        <v>1813</v>
      </c>
      <c r="BK654" t="s">
        <v>569</v>
      </c>
      <c r="BL654" t="s">
        <v>1814</v>
      </c>
      <c r="BM654" t="s">
        <v>9235</v>
      </c>
      <c r="BN654" t="s">
        <v>74</v>
      </c>
      <c r="BO654" t="s">
        <v>74</v>
      </c>
      <c r="BP654" t="s">
        <v>74</v>
      </c>
      <c r="BQ654" t="s">
        <v>74</v>
      </c>
      <c r="BR654" t="s">
        <v>98</v>
      </c>
      <c r="BS654" t="s">
        <v>9236</v>
      </c>
      <c r="BT654" t="str">
        <f>HYPERLINK("https%3A%2F%2Fwww.webofscience.com%2Fwos%2Fwoscc%2Ffull-record%2FWOS:000179111700007","View Full Record in Web of Science")</f>
        <v>View Full Record in Web of Science</v>
      </c>
    </row>
    <row r="655" spans="1:72" x14ac:dyDescent="0.15">
      <c r="A655" t="s">
        <v>552</v>
      </c>
      <c r="B655" t="s">
        <v>9237</v>
      </c>
      <c r="C655" t="s">
        <v>74</v>
      </c>
      <c r="D655" t="s">
        <v>74</v>
      </c>
      <c r="E655" t="s">
        <v>74</v>
      </c>
      <c r="F655" t="s">
        <v>9237</v>
      </c>
      <c r="G655" t="s">
        <v>74</v>
      </c>
      <c r="H655" t="s">
        <v>74</v>
      </c>
      <c r="I655" t="s">
        <v>9238</v>
      </c>
      <c r="J655" t="s">
        <v>6376</v>
      </c>
      <c r="K655" t="s">
        <v>74</v>
      </c>
      <c r="L655" t="s">
        <v>74</v>
      </c>
      <c r="M655" t="s">
        <v>78</v>
      </c>
      <c r="N655" t="s">
        <v>775</v>
      </c>
      <c r="O655" t="s">
        <v>74</v>
      </c>
      <c r="P655" t="s">
        <v>74</v>
      </c>
      <c r="Q655" t="s">
        <v>74</v>
      </c>
      <c r="R655" t="s">
        <v>74</v>
      </c>
      <c r="S655" t="s">
        <v>74</v>
      </c>
      <c r="T655" t="s">
        <v>74</v>
      </c>
      <c r="U655" t="s">
        <v>9239</v>
      </c>
      <c r="V655" t="s">
        <v>9240</v>
      </c>
      <c r="W655" t="s">
        <v>9241</v>
      </c>
      <c r="X655" t="s">
        <v>9242</v>
      </c>
      <c r="Y655" t="s">
        <v>9243</v>
      </c>
      <c r="Z655" t="s">
        <v>74</v>
      </c>
      <c r="AA655" t="s">
        <v>9244</v>
      </c>
      <c r="AB655" t="s">
        <v>9245</v>
      </c>
      <c r="AC655" t="s">
        <v>74</v>
      </c>
      <c r="AD655" t="s">
        <v>74</v>
      </c>
      <c r="AE655" t="s">
        <v>74</v>
      </c>
      <c r="AF655" t="s">
        <v>74</v>
      </c>
      <c r="AG655">
        <v>26</v>
      </c>
      <c r="AH655">
        <v>21</v>
      </c>
      <c r="AI655">
        <v>22</v>
      </c>
      <c r="AJ655">
        <v>0</v>
      </c>
      <c r="AK655">
        <v>9</v>
      </c>
      <c r="AL655" t="s">
        <v>560</v>
      </c>
      <c r="AM655" t="s">
        <v>561</v>
      </c>
      <c r="AN655" t="s">
        <v>3082</v>
      </c>
      <c r="AO655" t="s">
        <v>6384</v>
      </c>
      <c r="AP655" t="s">
        <v>74</v>
      </c>
      <c r="AQ655" t="s">
        <v>74</v>
      </c>
      <c r="AR655" t="s">
        <v>6385</v>
      </c>
      <c r="AS655" t="s">
        <v>6386</v>
      </c>
      <c r="AT655" t="s">
        <v>8551</v>
      </c>
      <c r="AU655">
        <v>2002</v>
      </c>
      <c r="AV655">
        <v>82</v>
      </c>
      <c r="AW655">
        <v>5</v>
      </c>
      <c r="AX655" t="s">
        <v>74</v>
      </c>
      <c r="AY655" t="s">
        <v>74</v>
      </c>
      <c r="AZ655" t="s">
        <v>74</v>
      </c>
      <c r="BA655" t="s">
        <v>74</v>
      </c>
      <c r="BB655">
        <v>913</v>
      </c>
      <c r="BC655">
        <v>916</v>
      </c>
      <c r="BD655" t="s">
        <v>74</v>
      </c>
      <c r="BE655" t="s">
        <v>9246</v>
      </c>
      <c r="BF655" t="str">
        <f>HYPERLINK("http://dx.doi.org/10.1017/S0025315402006343","http://dx.doi.org/10.1017/S0025315402006343")</f>
        <v>http://dx.doi.org/10.1017/S0025315402006343</v>
      </c>
      <c r="BG655" t="s">
        <v>74</v>
      </c>
      <c r="BH655" t="s">
        <v>74</v>
      </c>
      <c r="BI655">
        <v>4</v>
      </c>
      <c r="BJ655" t="s">
        <v>989</v>
      </c>
      <c r="BK655" t="s">
        <v>569</v>
      </c>
      <c r="BL655" t="s">
        <v>989</v>
      </c>
      <c r="BM655" t="s">
        <v>9247</v>
      </c>
      <c r="BN655" t="s">
        <v>74</v>
      </c>
      <c r="BO655" t="s">
        <v>74</v>
      </c>
      <c r="BP655" t="s">
        <v>74</v>
      </c>
      <c r="BQ655" t="s">
        <v>74</v>
      </c>
      <c r="BR655" t="s">
        <v>98</v>
      </c>
      <c r="BS655" t="s">
        <v>9248</v>
      </c>
      <c r="BT655" t="str">
        <f>HYPERLINK("https%3A%2F%2Fwww.webofscience.com%2Fwos%2Fwoscc%2Ffull-record%2FWOS:000179144800027","View Full Record in Web of Science")</f>
        <v>View Full Record in Web of Science</v>
      </c>
    </row>
    <row r="656" spans="1:72" x14ac:dyDescent="0.15">
      <c r="A656" t="s">
        <v>552</v>
      </c>
      <c r="B656" t="s">
        <v>9249</v>
      </c>
      <c r="C656" t="s">
        <v>74</v>
      </c>
      <c r="D656" t="s">
        <v>74</v>
      </c>
      <c r="E656" t="s">
        <v>74</v>
      </c>
      <c r="F656" t="s">
        <v>9249</v>
      </c>
      <c r="G656" t="s">
        <v>74</v>
      </c>
      <c r="H656" t="s">
        <v>74</v>
      </c>
      <c r="I656" t="s">
        <v>9250</v>
      </c>
      <c r="J656" t="s">
        <v>3036</v>
      </c>
      <c r="K656" t="s">
        <v>74</v>
      </c>
      <c r="L656" t="s">
        <v>74</v>
      </c>
      <c r="M656" t="s">
        <v>78</v>
      </c>
      <c r="N656" t="s">
        <v>775</v>
      </c>
      <c r="O656" t="s">
        <v>74</v>
      </c>
      <c r="P656" t="s">
        <v>74</v>
      </c>
      <c r="Q656" t="s">
        <v>74</v>
      </c>
      <c r="R656" t="s">
        <v>74</v>
      </c>
      <c r="S656" t="s">
        <v>74</v>
      </c>
      <c r="T656" t="s">
        <v>9251</v>
      </c>
      <c r="U656" t="s">
        <v>9252</v>
      </c>
      <c r="V656" t="s">
        <v>9253</v>
      </c>
      <c r="W656" t="s">
        <v>9254</v>
      </c>
      <c r="X656" t="s">
        <v>3041</v>
      </c>
      <c r="Y656" t="s">
        <v>9255</v>
      </c>
      <c r="Z656" t="s">
        <v>74</v>
      </c>
      <c r="AA656" t="s">
        <v>9256</v>
      </c>
      <c r="AB656" t="s">
        <v>9257</v>
      </c>
      <c r="AC656" t="s">
        <v>74</v>
      </c>
      <c r="AD656" t="s">
        <v>74</v>
      </c>
      <c r="AE656" t="s">
        <v>74</v>
      </c>
      <c r="AF656" t="s">
        <v>74</v>
      </c>
      <c r="AG656">
        <v>25</v>
      </c>
      <c r="AH656">
        <v>22</v>
      </c>
      <c r="AI656">
        <v>27</v>
      </c>
      <c r="AJ656">
        <v>0</v>
      </c>
      <c r="AK656">
        <v>15</v>
      </c>
      <c r="AL656" t="s">
        <v>806</v>
      </c>
      <c r="AM656" t="s">
        <v>807</v>
      </c>
      <c r="AN656" t="s">
        <v>808</v>
      </c>
      <c r="AO656" t="s">
        <v>3046</v>
      </c>
      <c r="AP656" t="s">
        <v>74</v>
      </c>
      <c r="AQ656" t="s">
        <v>74</v>
      </c>
      <c r="AR656" t="s">
        <v>3047</v>
      </c>
      <c r="AS656" t="s">
        <v>3048</v>
      </c>
      <c r="AT656" t="s">
        <v>8551</v>
      </c>
      <c r="AU656">
        <v>2002</v>
      </c>
      <c r="AV656">
        <v>27</v>
      </c>
      <c r="AW656">
        <v>5</v>
      </c>
      <c r="AX656" t="s">
        <v>74</v>
      </c>
      <c r="AY656" t="s">
        <v>74</v>
      </c>
      <c r="AZ656" t="s">
        <v>74</v>
      </c>
      <c r="BA656" t="s">
        <v>74</v>
      </c>
      <c r="BB656">
        <v>381</v>
      </c>
      <c r="BC656">
        <v>386</v>
      </c>
      <c r="BD656" t="s">
        <v>9258</v>
      </c>
      <c r="BE656" t="s">
        <v>9259</v>
      </c>
      <c r="BF656" t="str">
        <f>HYPERLINK("http://dx.doi.org/10.1016/S0306-4565(02)00006-2","http://dx.doi.org/10.1016/S0306-4565(02)00006-2")</f>
        <v>http://dx.doi.org/10.1016/S0306-4565(02)00006-2</v>
      </c>
      <c r="BG656" t="s">
        <v>74</v>
      </c>
      <c r="BH656" t="s">
        <v>74</v>
      </c>
      <c r="BI656">
        <v>6</v>
      </c>
      <c r="BJ656" t="s">
        <v>3051</v>
      </c>
      <c r="BK656" t="s">
        <v>569</v>
      </c>
      <c r="BL656" t="s">
        <v>3052</v>
      </c>
      <c r="BM656" t="s">
        <v>9260</v>
      </c>
      <c r="BN656" t="s">
        <v>74</v>
      </c>
      <c r="BO656" t="s">
        <v>74</v>
      </c>
      <c r="BP656" t="s">
        <v>74</v>
      </c>
      <c r="BQ656" t="s">
        <v>74</v>
      </c>
      <c r="BR656" t="s">
        <v>98</v>
      </c>
      <c r="BS656" t="s">
        <v>9261</v>
      </c>
      <c r="BT656" t="str">
        <f>HYPERLINK("https%3A%2F%2Fwww.webofscience.com%2Fwos%2Fwoscc%2Ffull-record%2FWOS:000177739300008","View Full Record in Web of Science")</f>
        <v>View Full Record in Web of Science</v>
      </c>
    </row>
    <row r="657" spans="1:72" x14ac:dyDescent="0.15">
      <c r="A657" t="s">
        <v>552</v>
      </c>
      <c r="B657" t="s">
        <v>9262</v>
      </c>
      <c r="C657" t="s">
        <v>74</v>
      </c>
      <c r="D657" t="s">
        <v>74</v>
      </c>
      <c r="E657" t="s">
        <v>74</v>
      </c>
      <c r="F657" t="s">
        <v>9262</v>
      </c>
      <c r="G657" t="s">
        <v>74</v>
      </c>
      <c r="H657" t="s">
        <v>74</v>
      </c>
      <c r="I657" t="s">
        <v>9263</v>
      </c>
      <c r="J657" t="s">
        <v>3074</v>
      </c>
      <c r="K657" t="s">
        <v>74</v>
      </c>
      <c r="L657" t="s">
        <v>74</v>
      </c>
      <c r="M657" t="s">
        <v>78</v>
      </c>
      <c r="N657" t="s">
        <v>775</v>
      </c>
      <c r="O657" t="s">
        <v>74</v>
      </c>
      <c r="P657" t="s">
        <v>74</v>
      </c>
      <c r="Q657" t="s">
        <v>74</v>
      </c>
      <c r="R657" t="s">
        <v>74</v>
      </c>
      <c r="S657" t="s">
        <v>74</v>
      </c>
      <c r="T657" t="s">
        <v>9264</v>
      </c>
      <c r="U657" t="s">
        <v>74</v>
      </c>
      <c r="V657" t="s">
        <v>9265</v>
      </c>
      <c r="W657" t="s">
        <v>9266</v>
      </c>
      <c r="X657" t="s">
        <v>9267</v>
      </c>
      <c r="Y657" t="s">
        <v>9268</v>
      </c>
      <c r="Z657" t="s">
        <v>74</v>
      </c>
      <c r="AA657" t="s">
        <v>74</v>
      </c>
      <c r="AB657" t="s">
        <v>74</v>
      </c>
      <c r="AC657" t="s">
        <v>74</v>
      </c>
      <c r="AD657" t="s">
        <v>74</v>
      </c>
      <c r="AE657" t="s">
        <v>74</v>
      </c>
      <c r="AF657" t="s">
        <v>74</v>
      </c>
      <c r="AG657">
        <v>24</v>
      </c>
      <c r="AH657">
        <v>9</v>
      </c>
      <c r="AI657">
        <v>13</v>
      </c>
      <c r="AJ657">
        <v>0</v>
      </c>
      <c r="AK657">
        <v>11</v>
      </c>
      <c r="AL657" t="s">
        <v>1147</v>
      </c>
      <c r="AM657" t="s">
        <v>1148</v>
      </c>
      <c r="AN657" t="s">
        <v>1149</v>
      </c>
      <c r="AO657" t="s">
        <v>3083</v>
      </c>
      <c r="AP657" t="s">
        <v>9269</v>
      </c>
      <c r="AQ657" t="s">
        <v>74</v>
      </c>
      <c r="AR657" t="s">
        <v>3084</v>
      </c>
      <c r="AS657" t="s">
        <v>3085</v>
      </c>
      <c r="AT657" t="s">
        <v>8551</v>
      </c>
      <c r="AU657">
        <v>2002</v>
      </c>
      <c r="AV657">
        <v>258</v>
      </c>
      <c r="AW657" t="s">
        <v>74</v>
      </c>
      <c r="AX657">
        <v>2</v>
      </c>
      <c r="AY657" t="s">
        <v>74</v>
      </c>
      <c r="AZ657" t="s">
        <v>74</v>
      </c>
      <c r="BA657" t="s">
        <v>74</v>
      </c>
      <c r="BB657">
        <v>197</v>
      </c>
      <c r="BC657">
        <v>203</v>
      </c>
      <c r="BD657" t="s">
        <v>74</v>
      </c>
      <c r="BE657" t="s">
        <v>9270</v>
      </c>
      <c r="BF657" t="str">
        <f>HYPERLINK("http://dx.doi.org/10.1017/S0952836902001310","http://dx.doi.org/10.1017/S0952836902001310")</f>
        <v>http://dx.doi.org/10.1017/S0952836902001310</v>
      </c>
      <c r="BG657" t="s">
        <v>74</v>
      </c>
      <c r="BH657" t="s">
        <v>74</v>
      </c>
      <c r="BI657">
        <v>7</v>
      </c>
      <c r="BJ657" t="s">
        <v>927</v>
      </c>
      <c r="BK657" t="s">
        <v>569</v>
      </c>
      <c r="BL657" t="s">
        <v>927</v>
      </c>
      <c r="BM657" t="s">
        <v>9271</v>
      </c>
      <c r="BN657" t="s">
        <v>74</v>
      </c>
      <c r="BO657" t="s">
        <v>74</v>
      </c>
      <c r="BP657" t="s">
        <v>74</v>
      </c>
      <c r="BQ657" t="s">
        <v>74</v>
      </c>
      <c r="BR657" t="s">
        <v>98</v>
      </c>
      <c r="BS657" t="s">
        <v>9272</v>
      </c>
      <c r="BT657" t="str">
        <f>HYPERLINK("https%3A%2F%2Fwww.webofscience.com%2Fwos%2Fwoscc%2Ffull-record%2FWOS:000179022600005","View Full Record in Web of Science")</f>
        <v>View Full Record in Web of Science</v>
      </c>
    </row>
    <row r="658" spans="1:72" x14ac:dyDescent="0.15">
      <c r="A658" t="s">
        <v>552</v>
      </c>
      <c r="B658" t="s">
        <v>9273</v>
      </c>
      <c r="C658" t="s">
        <v>74</v>
      </c>
      <c r="D658" t="s">
        <v>74</v>
      </c>
      <c r="E658" t="s">
        <v>74</v>
      </c>
      <c r="F658" t="s">
        <v>9273</v>
      </c>
      <c r="G658" t="s">
        <v>74</v>
      </c>
      <c r="H658" t="s">
        <v>74</v>
      </c>
      <c r="I658" t="s">
        <v>9274</v>
      </c>
      <c r="J658" t="s">
        <v>6392</v>
      </c>
      <c r="K658" t="s">
        <v>74</v>
      </c>
      <c r="L658" t="s">
        <v>74</v>
      </c>
      <c r="M658" t="s">
        <v>78</v>
      </c>
      <c r="N658" t="s">
        <v>775</v>
      </c>
      <c r="O658" t="s">
        <v>74</v>
      </c>
      <c r="P658" t="s">
        <v>74</v>
      </c>
      <c r="Q658" t="s">
        <v>74</v>
      </c>
      <c r="R658" t="s">
        <v>74</v>
      </c>
      <c r="S658" t="s">
        <v>74</v>
      </c>
      <c r="T658" t="s">
        <v>74</v>
      </c>
      <c r="U658" t="s">
        <v>9275</v>
      </c>
      <c r="V658" t="s">
        <v>9276</v>
      </c>
      <c r="W658" t="s">
        <v>9277</v>
      </c>
      <c r="X658" t="s">
        <v>9278</v>
      </c>
      <c r="Y658" t="s">
        <v>9279</v>
      </c>
      <c r="Z658" t="s">
        <v>9280</v>
      </c>
      <c r="AA658" t="s">
        <v>74</v>
      </c>
      <c r="AB658" t="s">
        <v>74</v>
      </c>
      <c r="AC658" t="s">
        <v>74</v>
      </c>
      <c r="AD658" t="s">
        <v>74</v>
      </c>
      <c r="AE658" t="s">
        <v>74</v>
      </c>
      <c r="AF658" t="s">
        <v>74</v>
      </c>
      <c r="AG658">
        <v>50</v>
      </c>
      <c r="AH658">
        <v>64</v>
      </c>
      <c r="AI658">
        <v>72</v>
      </c>
      <c r="AJ658">
        <v>0</v>
      </c>
      <c r="AK658">
        <v>9</v>
      </c>
      <c r="AL658" t="s">
        <v>4121</v>
      </c>
      <c r="AM658" t="s">
        <v>4122</v>
      </c>
      <c r="AN658" t="s">
        <v>4123</v>
      </c>
      <c r="AO658" t="s">
        <v>6397</v>
      </c>
      <c r="AP658" t="s">
        <v>7943</v>
      </c>
      <c r="AQ658" t="s">
        <v>74</v>
      </c>
      <c r="AR658" t="s">
        <v>6398</v>
      </c>
      <c r="AS658" t="s">
        <v>6399</v>
      </c>
      <c r="AT658" t="s">
        <v>8551</v>
      </c>
      <c r="AU658">
        <v>2002</v>
      </c>
      <c r="AV658">
        <v>141</v>
      </c>
      <c r="AW658">
        <v>4</v>
      </c>
      <c r="AX658" t="s">
        <v>74</v>
      </c>
      <c r="AY658" t="s">
        <v>74</v>
      </c>
      <c r="AZ658" t="s">
        <v>74</v>
      </c>
      <c r="BA658" t="s">
        <v>74</v>
      </c>
      <c r="BB658">
        <v>619</v>
      </c>
      <c r="BC658">
        <v>627</v>
      </c>
      <c r="BD658" t="s">
        <v>74</v>
      </c>
      <c r="BE658" t="s">
        <v>9281</v>
      </c>
      <c r="BF658" t="str">
        <f>HYPERLINK("http://dx.doi.org/10.1007/s00227-002-0871-0","http://dx.doi.org/10.1007/s00227-002-0871-0")</f>
        <v>http://dx.doi.org/10.1007/s00227-002-0871-0</v>
      </c>
      <c r="BG658" t="s">
        <v>74</v>
      </c>
      <c r="BH658" t="s">
        <v>74</v>
      </c>
      <c r="BI658">
        <v>9</v>
      </c>
      <c r="BJ658" t="s">
        <v>989</v>
      </c>
      <c r="BK658" t="s">
        <v>569</v>
      </c>
      <c r="BL658" t="s">
        <v>989</v>
      </c>
      <c r="BM658" t="s">
        <v>9282</v>
      </c>
      <c r="BN658" t="s">
        <v>74</v>
      </c>
      <c r="BO658" t="s">
        <v>74</v>
      </c>
      <c r="BP658" t="s">
        <v>74</v>
      </c>
      <c r="BQ658" t="s">
        <v>74</v>
      </c>
      <c r="BR658" t="s">
        <v>98</v>
      </c>
      <c r="BS658" t="s">
        <v>9283</v>
      </c>
      <c r="BT658" t="str">
        <f>HYPERLINK("https%3A%2F%2Fwww.webofscience.com%2Fwos%2Fwoscc%2Ffull-record%2FWOS:000179260900002","View Full Record in Web of Science")</f>
        <v>View Full Record in Web of Science</v>
      </c>
    </row>
    <row r="659" spans="1:72" x14ac:dyDescent="0.15">
      <c r="A659" t="s">
        <v>552</v>
      </c>
      <c r="B659" t="s">
        <v>9284</v>
      </c>
      <c r="C659" t="s">
        <v>74</v>
      </c>
      <c r="D659" t="s">
        <v>74</v>
      </c>
      <c r="E659" t="s">
        <v>74</v>
      </c>
      <c r="F659" t="s">
        <v>9284</v>
      </c>
      <c r="G659" t="s">
        <v>74</v>
      </c>
      <c r="H659" t="s">
        <v>74</v>
      </c>
      <c r="I659" t="s">
        <v>9285</v>
      </c>
      <c r="J659" t="s">
        <v>6392</v>
      </c>
      <c r="K659" t="s">
        <v>74</v>
      </c>
      <c r="L659" t="s">
        <v>74</v>
      </c>
      <c r="M659" t="s">
        <v>78</v>
      </c>
      <c r="N659" t="s">
        <v>775</v>
      </c>
      <c r="O659" t="s">
        <v>74</v>
      </c>
      <c r="P659" t="s">
        <v>74</v>
      </c>
      <c r="Q659" t="s">
        <v>74</v>
      </c>
      <c r="R659" t="s">
        <v>74</v>
      </c>
      <c r="S659" t="s">
        <v>74</v>
      </c>
      <c r="T659" t="s">
        <v>74</v>
      </c>
      <c r="U659" t="s">
        <v>9286</v>
      </c>
      <c r="V659" t="s">
        <v>9287</v>
      </c>
      <c r="W659" t="s">
        <v>169</v>
      </c>
      <c r="X659" t="s">
        <v>170</v>
      </c>
      <c r="Y659" t="s">
        <v>9288</v>
      </c>
      <c r="Z659" t="s">
        <v>9289</v>
      </c>
      <c r="AA659" t="s">
        <v>9290</v>
      </c>
      <c r="AB659" t="s">
        <v>74</v>
      </c>
      <c r="AC659" t="s">
        <v>74</v>
      </c>
      <c r="AD659" t="s">
        <v>74</v>
      </c>
      <c r="AE659" t="s">
        <v>74</v>
      </c>
      <c r="AF659" t="s">
        <v>74</v>
      </c>
      <c r="AG659">
        <v>31</v>
      </c>
      <c r="AH659">
        <v>31</v>
      </c>
      <c r="AI659">
        <v>45</v>
      </c>
      <c r="AJ659">
        <v>0</v>
      </c>
      <c r="AK659">
        <v>6</v>
      </c>
      <c r="AL659" t="s">
        <v>4121</v>
      </c>
      <c r="AM659" t="s">
        <v>4122</v>
      </c>
      <c r="AN659" t="s">
        <v>4123</v>
      </c>
      <c r="AO659" t="s">
        <v>6397</v>
      </c>
      <c r="AP659" t="s">
        <v>7943</v>
      </c>
      <c r="AQ659" t="s">
        <v>74</v>
      </c>
      <c r="AR659" t="s">
        <v>6398</v>
      </c>
      <c r="AS659" t="s">
        <v>6399</v>
      </c>
      <c r="AT659" t="s">
        <v>8551</v>
      </c>
      <c r="AU659">
        <v>2002</v>
      </c>
      <c r="AV659">
        <v>141</v>
      </c>
      <c r="AW659">
        <v>4</v>
      </c>
      <c r="AX659" t="s">
        <v>74</v>
      </c>
      <c r="AY659" t="s">
        <v>74</v>
      </c>
      <c r="AZ659" t="s">
        <v>74</v>
      </c>
      <c r="BA659" t="s">
        <v>74</v>
      </c>
      <c r="BB659">
        <v>699</v>
      </c>
      <c r="BC659">
        <v>706</v>
      </c>
      <c r="BD659" t="s">
        <v>74</v>
      </c>
      <c r="BE659" t="s">
        <v>9291</v>
      </c>
      <c r="BF659" t="str">
        <f>HYPERLINK("http://dx.doi.org/10.1007/s00227-002-0864-z","http://dx.doi.org/10.1007/s00227-002-0864-z")</f>
        <v>http://dx.doi.org/10.1007/s00227-002-0864-z</v>
      </c>
      <c r="BG659" t="s">
        <v>74</v>
      </c>
      <c r="BH659" t="s">
        <v>74</v>
      </c>
      <c r="BI659">
        <v>8</v>
      </c>
      <c r="BJ659" t="s">
        <v>989</v>
      </c>
      <c r="BK659" t="s">
        <v>569</v>
      </c>
      <c r="BL659" t="s">
        <v>989</v>
      </c>
      <c r="BM659" t="s">
        <v>9282</v>
      </c>
      <c r="BN659" t="s">
        <v>74</v>
      </c>
      <c r="BO659" t="s">
        <v>74</v>
      </c>
      <c r="BP659" t="s">
        <v>74</v>
      </c>
      <c r="BQ659" t="s">
        <v>74</v>
      </c>
      <c r="BR659" t="s">
        <v>98</v>
      </c>
      <c r="BS659" t="s">
        <v>9292</v>
      </c>
      <c r="BT659" t="str">
        <f>HYPERLINK("https%3A%2F%2Fwww.webofscience.com%2Fwos%2Fwoscc%2Ffull-record%2FWOS:000179260900010","View Full Record in Web of Science")</f>
        <v>View Full Record in Web of Science</v>
      </c>
    </row>
    <row r="660" spans="1:72" x14ac:dyDescent="0.15">
      <c r="A660" t="s">
        <v>552</v>
      </c>
      <c r="B660" t="s">
        <v>9293</v>
      </c>
      <c r="C660" t="s">
        <v>74</v>
      </c>
      <c r="D660" t="s">
        <v>74</v>
      </c>
      <c r="E660" t="s">
        <v>74</v>
      </c>
      <c r="F660" t="s">
        <v>9293</v>
      </c>
      <c r="G660" t="s">
        <v>74</v>
      </c>
      <c r="H660" t="s">
        <v>74</v>
      </c>
      <c r="I660" t="s">
        <v>9294</v>
      </c>
      <c r="J660" t="s">
        <v>3704</v>
      </c>
      <c r="K660" t="s">
        <v>74</v>
      </c>
      <c r="L660" t="s">
        <v>74</v>
      </c>
      <c r="M660" t="s">
        <v>78</v>
      </c>
      <c r="N660" t="s">
        <v>775</v>
      </c>
      <c r="O660" t="s">
        <v>74</v>
      </c>
      <c r="P660" t="s">
        <v>74</v>
      </c>
      <c r="Q660" t="s">
        <v>74</v>
      </c>
      <c r="R660" t="s">
        <v>74</v>
      </c>
      <c r="S660" t="s">
        <v>74</v>
      </c>
      <c r="T660" t="s">
        <v>74</v>
      </c>
      <c r="U660" t="s">
        <v>9295</v>
      </c>
      <c r="V660" t="s">
        <v>9296</v>
      </c>
      <c r="W660" t="s">
        <v>9297</v>
      </c>
      <c r="X660" t="s">
        <v>9298</v>
      </c>
      <c r="Y660" t="s">
        <v>4479</v>
      </c>
      <c r="Z660" t="s">
        <v>74</v>
      </c>
      <c r="AA660" t="s">
        <v>74</v>
      </c>
      <c r="AB660" t="s">
        <v>74</v>
      </c>
      <c r="AC660" t="s">
        <v>74</v>
      </c>
      <c r="AD660" t="s">
        <v>74</v>
      </c>
      <c r="AE660" t="s">
        <v>74</v>
      </c>
      <c r="AF660" t="s">
        <v>74</v>
      </c>
      <c r="AG660">
        <v>43</v>
      </c>
      <c r="AH660">
        <v>111</v>
      </c>
      <c r="AI660">
        <v>121</v>
      </c>
      <c r="AJ660">
        <v>0</v>
      </c>
      <c r="AK660">
        <v>11</v>
      </c>
      <c r="AL660" t="s">
        <v>3710</v>
      </c>
      <c r="AM660" t="s">
        <v>3711</v>
      </c>
      <c r="AN660" t="s">
        <v>3712</v>
      </c>
      <c r="AO660" t="s">
        <v>3713</v>
      </c>
      <c r="AP660" t="s">
        <v>74</v>
      </c>
      <c r="AQ660" t="s">
        <v>74</v>
      </c>
      <c r="AR660" t="s">
        <v>3714</v>
      </c>
      <c r="AS660" t="s">
        <v>3715</v>
      </c>
      <c r="AT660" t="s">
        <v>8551</v>
      </c>
      <c r="AU660">
        <v>2002</v>
      </c>
      <c r="AV660">
        <v>37</v>
      </c>
      <c r="AW660">
        <v>10</v>
      </c>
      <c r="AX660" t="s">
        <v>74</v>
      </c>
      <c r="AY660" t="s">
        <v>74</v>
      </c>
      <c r="AZ660" t="s">
        <v>74</v>
      </c>
      <c r="BA660" t="s">
        <v>74</v>
      </c>
      <c r="BB660">
        <v>1287</v>
      </c>
      <c r="BC660">
        <v>1298</v>
      </c>
      <c r="BD660" t="s">
        <v>74</v>
      </c>
      <c r="BE660" t="s">
        <v>9299</v>
      </c>
      <c r="BF660" t="str">
        <f>HYPERLINK("http://dx.doi.org/10.1111/j.1945-5100.2002.tb01029.x","http://dx.doi.org/10.1111/j.1945-5100.2002.tb01029.x")</f>
        <v>http://dx.doi.org/10.1111/j.1945-5100.2002.tb01029.x</v>
      </c>
      <c r="BG660" t="s">
        <v>74</v>
      </c>
      <c r="BH660" t="s">
        <v>74</v>
      </c>
      <c r="BI660">
        <v>12</v>
      </c>
      <c r="BJ660" t="s">
        <v>2068</v>
      </c>
      <c r="BK660" t="s">
        <v>569</v>
      </c>
      <c r="BL660" t="s">
        <v>2068</v>
      </c>
      <c r="BM660" t="s">
        <v>9300</v>
      </c>
      <c r="BN660" t="s">
        <v>74</v>
      </c>
      <c r="BO660" t="s">
        <v>572</v>
      </c>
      <c r="BP660" t="s">
        <v>74</v>
      </c>
      <c r="BQ660" t="s">
        <v>74</v>
      </c>
      <c r="BR660" t="s">
        <v>98</v>
      </c>
      <c r="BS660" t="s">
        <v>9301</v>
      </c>
      <c r="BT660" t="str">
        <f>HYPERLINK("https%3A%2F%2Fwww.webofscience.com%2Fwos%2Fwoscc%2Ffull-record%2FWOS:000178877100001","View Full Record in Web of Science")</f>
        <v>View Full Record in Web of Science</v>
      </c>
    </row>
    <row r="661" spans="1:72" x14ac:dyDescent="0.15">
      <c r="A661" t="s">
        <v>552</v>
      </c>
      <c r="B661" t="s">
        <v>9302</v>
      </c>
      <c r="C661" t="s">
        <v>74</v>
      </c>
      <c r="D661" t="s">
        <v>74</v>
      </c>
      <c r="E661" t="s">
        <v>74</v>
      </c>
      <c r="F661" t="s">
        <v>9302</v>
      </c>
      <c r="G661" t="s">
        <v>74</v>
      </c>
      <c r="H661" t="s">
        <v>74</v>
      </c>
      <c r="I661" t="s">
        <v>9303</v>
      </c>
      <c r="J661" t="s">
        <v>9304</v>
      </c>
      <c r="K661" t="s">
        <v>74</v>
      </c>
      <c r="L661" t="s">
        <v>74</v>
      </c>
      <c r="M661" t="s">
        <v>78</v>
      </c>
      <c r="N661" t="s">
        <v>775</v>
      </c>
      <c r="O661" t="s">
        <v>74</v>
      </c>
      <c r="P661" t="s">
        <v>74</v>
      </c>
      <c r="Q661" t="s">
        <v>74</v>
      </c>
      <c r="R661" t="s">
        <v>74</v>
      </c>
      <c r="S661" t="s">
        <v>74</v>
      </c>
      <c r="T661" t="s">
        <v>74</v>
      </c>
      <c r="U661" t="s">
        <v>9305</v>
      </c>
      <c r="V661" t="s">
        <v>9306</v>
      </c>
      <c r="W661" t="s">
        <v>9307</v>
      </c>
      <c r="X661" t="s">
        <v>9308</v>
      </c>
      <c r="Y661" t="s">
        <v>9309</v>
      </c>
      <c r="Z661" t="s">
        <v>74</v>
      </c>
      <c r="AA661" t="s">
        <v>9310</v>
      </c>
      <c r="AB661" t="s">
        <v>9311</v>
      </c>
      <c r="AC661" t="s">
        <v>74</v>
      </c>
      <c r="AD661" t="s">
        <v>74</v>
      </c>
      <c r="AE661" t="s">
        <v>74</v>
      </c>
      <c r="AF661" t="s">
        <v>74</v>
      </c>
      <c r="AG661">
        <v>36</v>
      </c>
      <c r="AH661">
        <v>129</v>
      </c>
      <c r="AI661">
        <v>137</v>
      </c>
      <c r="AJ661">
        <v>0</v>
      </c>
      <c r="AK661">
        <v>43</v>
      </c>
      <c r="AL661" t="s">
        <v>1259</v>
      </c>
      <c r="AM661" t="s">
        <v>561</v>
      </c>
      <c r="AN661" t="s">
        <v>1260</v>
      </c>
      <c r="AO661" t="s">
        <v>9312</v>
      </c>
      <c r="AP661" t="s">
        <v>74</v>
      </c>
      <c r="AQ661" t="s">
        <v>74</v>
      </c>
      <c r="AR661" t="s">
        <v>9313</v>
      </c>
      <c r="AS661" t="s">
        <v>9314</v>
      </c>
      <c r="AT661" t="s">
        <v>8551</v>
      </c>
      <c r="AU661">
        <v>2002</v>
      </c>
      <c r="AV661">
        <v>44</v>
      </c>
      <c r="AW661">
        <v>3</v>
      </c>
      <c r="AX661" t="s">
        <v>74</v>
      </c>
      <c r="AY661" t="s">
        <v>74</v>
      </c>
      <c r="AZ661" t="s">
        <v>74</v>
      </c>
      <c r="BA661" t="s">
        <v>74</v>
      </c>
      <c r="BB661">
        <v>217</v>
      </c>
      <c r="BC661">
        <v>223</v>
      </c>
      <c r="BD661" t="s">
        <v>74</v>
      </c>
      <c r="BE661" t="s">
        <v>9315</v>
      </c>
      <c r="BF661" t="str">
        <f>HYPERLINK("http://dx.doi.org/10.1007/s00248-002-1026-z","http://dx.doi.org/10.1007/s00248-002-1026-z")</f>
        <v>http://dx.doi.org/10.1007/s00248-002-1026-z</v>
      </c>
      <c r="BG661" t="s">
        <v>74</v>
      </c>
      <c r="BH661" t="s">
        <v>74</v>
      </c>
      <c r="BI661">
        <v>7</v>
      </c>
      <c r="BJ661" t="s">
        <v>8326</v>
      </c>
      <c r="BK661" t="s">
        <v>569</v>
      </c>
      <c r="BL661" t="s">
        <v>8327</v>
      </c>
      <c r="BM661" t="s">
        <v>9316</v>
      </c>
      <c r="BN661">
        <v>12209254</v>
      </c>
      <c r="BO661" t="s">
        <v>74</v>
      </c>
      <c r="BP661" t="s">
        <v>74</v>
      </c>
      <c r="BQ661" t="s">
        <v>74</v>
      </c>
      <c r="BR661" t="s">
        <v>98</v>
      </c>
      <c r="BS661" t="s">
        <v>9317</v>
      </c>
      <c r="BT661" t="str">
        <f>HYPERLINK("https%3A%2F%2Fwww.webofscience.com%2Fwos%2Fwoscc%2Ffull-record%2FWOS:000179056700003","View Full Record in Web of Science")</f>
        <v>View Full Record in Web of Science</v>
      </c>
    </row>
    <row r="662" spans="1:72" x14ac:dyDescent="0.15">
      <c r="A662" t="s">
        <v>552</v>
      </c>
      <c r="B662" t="s">
        <v>9318</v>
      </c>
      <c r="C662" t="s">
        <v>74</v>
      </c>
      <c r="D662" t="s">
        <v>74</v>
      </c>
      <c r="E662" t="s">
        <v>74</v>
      </c>
      <c r="F662" t="s">
        <v>9318</v>
      </c>
      <c r="G662" t="s">
        <v>74</v>
      </c>
      <c r="H662" t="s">
        <v>74</v>
      </c>
      <c r="I662" t="s">
        <v>9319</v>
      </c>
      <c r="J662" t="s">
        <v>9304</v>
      </c>
      <c r="K662" t="s">
        <v>74</v>
      </c>
      <c r="L662" t="s">
        <v>74</v>
      </c>
      <c r="M662" t="s">
        <v>78</v>
      </c>
      <c r="N662" t="s">
        <v>775</v>
      </c>
      <c r="O662" t="s">
        <v>74</v>
      </c>
      <c r="P662" t="s">
        <v>74</v>
      </c>
      <c r="Q662" t="s">
        <v>74</v>
      </c>
      <c r="R662" t="s">
        <v>74</v>
      </c>
      <c r="S662" t="s">
        <v>74</v>
      </c>
      <c r="T662" t="s">
        <v>74</v>
      </c>
      <c r="U662" t="s">
        <v>9320</v>
      </c>
      <c r="V662" t="s">
        <v>9321</v>
      </c>
      <c r="W662" t="s">
        <v>9322</v>
      </c>
      <c r="X662" t="s">
        <v>2460</v>
      </c>
      <c r="Y662" t="s">
        <v>9323</v>
      </c>
      <c r="Z662" t="s">
        <v>74</v>
      </c>
      <c r="AA662" t="s">
        <v>74</v>
      </c>
      <c r="AB662" t="s">
        <v>9324</v>
      </c>
      <c r="AC662" t="s">
        <v>74</v>
      </c>
      <c r="AD662" t="s">
        <v>74</v>
      </c>
      <c r="AE662" t="s">
        <v>74</v>
      </c>
      <c r="AF662" t="s">
        <v>74</v>
      </c>
      <c r="AG662">
        <v>40</v>
      </c>
      <c r="AH662">
        <v>37</v>
      </c>
      <c r="AI662">
        <v>40</v>
      </c>
      <c r="AJ662">
        <v>0</v>
      </c>
      <c r="AK662">
        <v>15</v>
      </c>
      <c r="AL662" t="s">
        <v>1259</v>
      </c>
      <c r="AM662" t="s">
        <v>561</v>
      </c>
      <c r="AN662" t="s">
        <v>1260</v>
      </c>
      <c r="AO662" t="s">
        <v>9312</v>
      </c>
      <c r="AP662" t="s">
        <v>74</v>
      </c>
      <c r="AQ662" t="s">
        <v>74</v>
      </c>
      <c r="AR662" t="s">
        <v>9313</v>
      </c>
      <c r="AS662" t="s">
        <v>9314</v>
      </c>
      <c r="AT662" t="s">
        <v>8551</v>
      </c>
      <c r="AU662">
        <v>2002</v>
      </c>
      <c r="AV662">
        <v>44</v>
      </c>
      <c r="AW662">
        <v>3</v>
      </c>
      <c r="AX662" t="s">
        <v>74</v>
      </c>
      <c r="AY662" t="s">
        <v>74</v>
      </c>
      <c r="AZ662" t="s">
        <v>74</v>
      </c>
      <c r="BA662" t="s">
        <v>74</v>
      </c>
      <c r="BB662">
        <v>224</v>
      </c>
      <c r="BC662">
        <v>234</v>
      </c>
      <c r="BD662" t="s">
        <v>74</v>
      </c>
      <c r="BE662" t="s">
        <v>9325</v>
      </c>
      <c r="BF662" t="str">
        <f>HYPERLINK("http://dx.doi.org/10.1007/s00248-002-2017-9","http://dx.doi.org/10.1007/s00248-002-2017-9")</f>
        <v>http://dx.doi.org/10.1007/s00248-002-2017-9</v>
      </c>
      <c r="BG662" t="s">
        <v>74</v>
      </c>
      <c r="BH662" t="s">
        <v>74</v>
      </c>
      <c r="BI662">
        <v>11</v>
      </c>
      <c r="BJ662" t="s">
        <v>8326</v>
      </c>
      <c r="BK662" t="s">
        <v>569</v>
      </c>
      <c r="BL662" t="s">
        <v>8327</v>
      </c>
      <c r="BM662" t="s">
        <v>9316</v>
      </c>
      <c r="BN662">
        <v>12209251</v>
      </c>
      <c r="BO662" t="s">
        <v>74</v>
      </c>
      <c r="BP662" t="s">
        <v>74</v>
      </c>
      <c r="BQ662" t="s">
        <v>74</v>
      </c>
      <c r="BR662" t="s">
        <v>98</v>
      </c>
      <c r="BS662" t="s">
        <v>9326</v>
      </c>
      <c r="BT662" t="str">
        <f>HYPERLINK("https%3A%2F%2Fwww.webofscience.com%2Fwos%2Fwoscc%2Ffull-record%2FWOS:000179056700004","View Full Record in Web of Science")</f>
        <v>View Full Record in Web of Science</v>
      </c>
    </row>
    <row r="663" spans="1:72" x14ac:dyDescent="0.15">
      <c r="A663" t="s">
        <v>552</v>
      </c>
      <c r="B663" t="s">
        <v>9327</v>
      </c>
      <c r="C663" t="s">
        <v>74</v>
      </c>
      <c r="D663" t="s">
        <v>74</v>
      </c>
      <c r="E663" t="s">
        <v>74</v>
      </c>
      <c r="F663" t="s">
        <v>9327</v>
      </c>
      <c r="G663" t="s">
        <v>74</v>
      </c>
      <c r="H663" t="s">
        <v>74</v>
      </c>
      <c r="I663" t="s">
        <v>9328</v>
      </c>
      <c r="J663" t="s">
        <v>9329</v>
      </c>
      <c r="K663" t="s">
        <v>74</v>
      </c>
      <c r="L663" t="s">
        <v>74</v>
      </c>
      <c r="M663" t="s">
        <v>78</v>
      </c>
      <c r="N663" t="s">
        <v>576</v>
      </c>
      <c r="O663" t="s">
        <v>9330</v>
      </c>
      <c r="P663" t="s">
        <v>9331</v>
      </c>
      <c r="Q663" t="s">
        <v>9332</v>
      </c>
      <c r="R663" t="s">
        <v>74</v>
      </c>
      <c r="S663" t="s">
        <v>74</v>
      </c>
      <c r="T663" t="s">
        <v>9333</v>
      </c>
      <c r="U663" t="s">
        <v>9334</v>
      </c>
      <c r="V663" t="s">
        <v>9335</v>
      </c>
      <c r="W663" t="s">
        <v>9336</v>
      </c>
      <c r="X663" t="s">
        <v>129</v>
      </c>
      <c r="Y663" t="s">
        <v>9337</v>
      </c>
      <c r="Z663" t="s">
        <v>330</v>
      </c>
      <c r="AA663" t="s">
        <v>9338</v>
      </c>
      <c r="AB663" t="s">
        <v>9339</v>
      </c>
      <c r="AC663" t="s">
        <v>74</v>
      </c>
      <c r="AD663" t="s">
        <v>74</v>
      </c>
      <c r="AE663" t="s">
        <v>74</v>
      </c>
      <c r="AF663" t="s">
        <v>74</v>
      </c>
      <c r="AG663">
        <v>13</v>
      </c>
      <c r="AH663">
        <v>66</v>
      </c>
      <c r="AI663">
        <v>71</v>
      </c>
      <c r="AJ663">
        <v>0</v>
      </c>
      <c r="AK663">
        <v>32</v>
      </c>
      <c r="AL663" t="s">
        <v>1860</v>
      </c>
      <c r="AM663" t="s">
        <v>1861</v>
      </c>
      <c r="AN663" t="s">
        <v>1862</v>
      </c>
      <c r="AO663" t="s">
        <v>9340</v>
      </c>
      <c r="AP663" t="s">
        <v>74</v>
      </c>
      <c r="AQ663" t="s">
        <v>74</v>
      </c>
      <c r="AR663" t="s">
        <v>9341</v>
      </c>
      <c r="AS663" t="s">
        <v>9342</v>
      </c>
      <c r="AT663" t="s">
        <v>8551</v>
      </c>
      <c r="AU663">
        <v>2002</v>
      </c>
      <c r="AV663">
        <v>73</v>
      </c>
      <c r="AW663" t="s">
        <v>1866</v>
      </c>
      <c r="AX663" t="s">
        <v>74</v>
      </c>
      <c r="AY663" t="s">
        <v>74</v>
      </c>
      <c r="AZ663" t="s">
        <v>74</v>
      </c>
      <c r="BA663" t="s">
        <v>74</v>
      </c>
      <c r="BB663">
        <v>187</v>
      </c>
      <c r="BC663">
        <v>193</v>
      </c>
      <c r="BD663" t="s">
        <v>9343</v>
      </c>
      <c r="BE663" t="s">
        <v>9344</v>
      </c>
      <c r="BF663" t="str">
        <f>HYPERLINK("http://dx.doi.org/10.1016/S0026-265X(02)00063-2","http://dx.doi.org/10.1016/S0026-265X(02)00063-2")</f>
        <v>http://dx.doi.org/10.1016/S0026-265X(02)00063-2</v>
      </c>
      <c r="BG663" t="s">
        <v>74</v>
      </c>
      <c r="BH663" t="s">
        <v>74</v>
      </c>
      <c r="BI663">
        <v>7</v>
      </c>
      <c r="BJ663" t="s">
        <v>8510</v>
      </c>
      <c r="BK663" t="s">
        <v>605</v>
      </c>
      <c r="BL663" t="s">
        <v>863</v>
      </c>
      <c r="BM663" t="s">
        <v>9345</v>
      </c>
      <c r="BN663" t="s">
        <v>74</v>
      </c>
      <c r="BO663" t="s">
        <v>74</v>
      </c>
      <c r="BP663" t="s">
        <v>74</v>
      </c>
      <c r="BQ663" t="s">
        <v>74</v>
      </c>
      <c r="BR663" t="s">
        <v>98</v>
      </c>
      <c r="BS663" t="s">
        <v>9346</v>
      </c>
      <c r="BT663" t="str">
        <f>HYPERLINK("https%3A%2F%2Fwww.webofscience.com%2Fwos%2Fwoscc%2Ffull-record%2FWOS:000178685700021","View Full Record in Web of Science")</f>
        <v>View Full Record in Web of Science</v>
      </c>
    </row>
    <row r="664" spans="1:72" x14ac:dyDescent="0.15">
      <c r="A664" t="s">
        <v>552</v>
      </c>
      <c r="B664" t="s">
        <v>9347</v>
      </c>
      <c r="C664" t="s">
        <v>74</v>
      </c>
      <c r="D664" t="s">
        <v>74</v>
      </c>
      <c r="E664" t="s">
        <v>74</v>
      </c>
      <c r="F664" t="s">
        <v>9347</v>
      </c>
      <c r="G664" t="s">
        <v>74</v>
      </c>
      <c r="H664" t="s">
        <v>74</v>
      </c>
      <c r="I664" t="s">
        <v>9348</v>
      </c>
      <c r="J664" t="s">
        <v>9349</v>
      </c>
      <c r="K664" t="s">
        <v>74</v>
      </c>
      <c r="L664" t="s">
        <v>74</v>
      </c>
      <c r="M664" t="s">
        <v>78</v>
      </c>
      <c r="N664" t="s">
        <v>775</v>
      </c>
      <c r="O664" t="s">
        <v>74</v>
      </c>
      <c r="P664" t="s">
        <v>74</v>
      </c>
      <c r="Q664" t="s">
        <v>74</v>
      </c>
      <c r="R664" t="s">
        <v>74</v>
      </c>
      <c r="S664" t="s">
        <v>74</v>
      </c>
      <c r="T664" t="s">
        <v>9350</v>
      </c>
      <c r="U664" t="s">
        <v>9351</v>
      </c>
      <c r="V664" t="s">
        <v>9352</v>
      </c>
      <c r="W664" t="s">
        <v>9353</v>
      </c>
      <c r="X664" t="s">
        <v>9354</v>
      </c>
      <c r="Y664" t="s">
        <v>74</v>
      </c>
      <c r="Z664" t="s">
        <v>9355</v>
      </c>
      <c r="AA664" t="s">
        <v>74</v>
      </c>
      <c r="AB664" t="s">
        <v>74</v>
      </c>
      <c r="AC664" t="s">
        <v>74</v>
      </c>
      <c r="AD664" t="s">
        <v>74</v>
      </c>
      <c r="AE664" t="s">
        <v>74</v>
      </c>
      <c r="AF664" t="s">
        <v>74</v>
      </c>
      <c r="AG664">
        <v>24</v>
      </c>
      <c r="AH664">
        <v>4</v>
      </c>
      <c r="AI664">
        <v>4</v>
      </c>
      <c r="AJ664">
        <v>2</v>
      </c>
      <c r="AK664">
        <v>8</v>
      </c>
      <c r="AL664" t="s">
        <v>9356</v>
      </c>
      <c r="AM664" t="s">
        <v>9357</v>
      </c>
      <c r="AN664" t="s">
        <v>9358</v>
      </c>
      <c r="AO664" t="s">
        <v>9359</v>
      </c>
      <c r="AP664" t="s">
        <v>74</v>
      </c>
      <c r="AQ664" t="s">
        <v>74</v>
      </c>
      <c r="AR664" t="s">
        <v>9349</v>
      </c>
      <c r="AS664" t="s">
        <v>9360</v>
      </c>
      <c r="AT664" t="s">
        <v>9361</v>
      </c>
      <c r="AU664">
        <v>2002</v>
      </c>
      <c r="AV664">
        <v>84</v>
      </c>
      <c r="AW664" t="s">
        <v>74</v>
      </c>
      <c r="AX664" t="s">
        <v>74</v>
      </c>
      <c r="AY664" t="s">
        <v>74</v>
      </c>
      <c r="AZ664" t="s">
        <v>74</v>
      </c>
      <c r="BA664" t="s">
        <v>74</v>
      </c>
      <c r="BB664">
        <v>51</v>
      </c>
      <c r="BC664">
        <v>60</v>
      </c>
      <c r="BD664" t="s">
        <v>74</v>
      </c>
      <c r="BE664" t="s">
        <v>74</v>
      </c>
      <c r="BF664" t="s">
        <v>74</v>
      </c>
      <c r="BG664" t="s">
        <v>74</v>
      </c>
      <c r="BH664" t="s">
        <v>74</v>
      </c>
      <c r="BI664">
        <v>10</v>
      </c>
      <c r="BJ664" t="s">
        <v>3804</v>
      </c>
      <c r="BK664" t="s">
        <v>569</v>
      </c>
      <c r="BL664" t="s">
        <v>3804</v>
      </c>
      <c r="BM664" t="s">
        <v>9362</v>
      </c>
      <c r="BN664" t="s">
        <v>74</v>
      </c>
      <c r="BO664" t="s">
        <v>74</v>
      </c>
      <c r="BP664" t="s">
        <v>74</v>
      </c>
      <c r="BQ664" t="s">
        <v>74</v>
      </c>
      <c r="BR664" t="s">
        <v>98</v>
      </c>
      <c r="BS664" t="s">
        <v>9363</v>
      </c>
      <c r="BT664" t="str">
        <f>HYPERLINK("https%3A%2F%2Fwww.webofscience.com%2Fwos%2Fwoscc%2Ffull-record%2FWOS:000180243300006","View Full Record in Web of Science")</f>
        <v>View Full Record in Web of Science</v>
      </c>
    </row>
    <row r="665" spans="1:72" x14ac:dyDescent="0.15">
      <c r="A665" t="s">
        <v>552</v>
      </c>
      <c r="B665" t="s">
        <v>9364</v>
      </c>
      <c r="C665" t="s">
        <v>74</v>
      </c>
      <c r="D665" t="s">
        <v>74</v>
      </c>
      <c r="E665" t="s">
        <v>74</v>
      </c>
      <c r="F665" t="s">
        <v>9364</v>
      </c>
      <c r="G665" t="s">
        <v>74</v>
      </c>
      <c r="H665" t="s">
        <v>74</v>
      </c>
      <c r="I665" t="s">
        <v>9365</v>
      </c>
      <c r="J665" t="s">
        <v>9366</v>
      </c>
      <c r="K665" t="s">
        <v>74</v>
      </c>
      <c r="L665" t="s">
        <v>74</v>
      </c>
      <c r="M665" t="s">
        <v>78</v>
      </c>
      <c r="N665" t="s">
        <v>775</v>
      </c>
      <c r="O665" t="s">
        <v>74</v>
      </c>
      <c r="P665" t="s">
        <v>74</v>
      </c>
      <c r="Q665" t="s">
        <v>74</v>
      </c>
      <c r="R665" t="s">
        <v>74</v>
      </c>
      <c r="S665" t="s">
        <v>74</v>
      </c>
      <c r="T665" t="s">
        <v>9367</v>
      </c>
      <c r="U665" t="s">
        <v>9368</v>
      </c>
      <c r="V665" t="s">
        <v>9369</v>
      </c>
      <c r="W665" t="s">
        <v>9370</v>
      </c>
      <c r="X665" t="s">
        <v>9371</v>
      </c>
      <c r="Y665" t="s">
        <v>9372</v>
      </c>
      <c r="Z665" t="s">
        <v>74</v>
      </c>
      <c r="AA665" t="s">
        <v>9373</v>
      </c>
      <c r="AB665" t="s">
        <v>9374</v>
      </c>
      <c r="AC665" t="s">
        <v>74</v>
      </c>
      <c r="AD665" t="s">
        <v>74</v>
      </c>
      <c r="AE665" t="s">
        <v>74</v>
      </c>
      <c r="AF665" t="s">
        <v>74</v>
      </c>
      <c r="AG665">
        <v>17</v>
      </c>
      <c r="AH665">
        <v>2</v>
      </c>
      <c r="AI665">
        <v>2</v>
      </c>
      <c r="AJ665">
        <v>0</v>
      </c>
      <c r="AK665">
        <v>0</v>
      </c>
      <c r="AL665" t="s">
        <v>1860</v>
      </c>
      <c r="AM665" t="s">
        <v>1861</v>
      </c>
      <c r="AN665" t="s">
        <v>1862</v>
      </c>
      <c r="AO665" t="s">
        <v>9375</v>
      </c>
      <c r="AP665" t="s">
        <v>74</v>
      </c>
      <c r="AQ665" t="s">
        <v>74</v>
      </c>
      <c r="AR665" t="s">
        <v>9376</v>
      </c>
      <c r="AS665" t="s">
        <v>9377</v>
      </c>
      <c r="AT665" t="s">
        <v>8812</v>
      </c>
      <c r="AU665">
        <v>2002</v>
      </c>
      <c r="AV665">
        <v>491</v>
      </c>
      <c r="AW665">
        <v>3</v>
      </c>
      <c r="AX665" t="s">
        <v>74</v>
      </c>
      <c r="AY665" t="s">
        <v>74</v>
      </c>
      <c r="AZ665" t="s">
        <v>74</v>
      </c>
      <c r="BA665" t="s">
        <v>74</v>
      </c>
      <c r="BB665">
        <v>390</v>
      </c>
      <c r="BC665">
        <v>401</v>
      </c>
      <c r="BD665" t="s">
        <v>9378</v>
      </c>
      <c r="BE665" t="s">
        <v>9379</v>
      </c>
      <c r="BF665" t="str">
        <f>HYPERLINK("http://dx.doi.org/10.1016/S0168-9002(02)01228-7","http://dx.doi.org/10.1016/S0168-9002(02)01228-7")</f>
        <v>http://dx.doi.org/10.1016/S0168-9002(02)01228-7</v>
      </c>
      <c r="BG665" t="s">
        <v>74</v>
      </c>
      <c r="BH665" t="s">
        <v>74</v>
      </c>
      <c r="BI665">
        <v>12</v>
      </c>
      <c r="BJ665" t="s">
        <v>9380</v>
      </c>
      <c r="BK665" t="s">
        <v>569</v>
      </c>
      <c r="BL665" t="s">
        <v>9381</v>
      </c>
      <c r="BM665" t="s">
        <v>9382</v>
      </c>
      <c r="BN665" t="s">
        <v>74</v>
      </c>
      <c r="BO665" t="s">
        <v>74</v>
      </c>
      <c r="BP665" t="s">
        <v>74</v>
      </c>
      <c r="BQ665" t="s">
        <v>74</v>
      </c>
      <c r="BR665" t="s">
        <v>98</v>
      </c>
      <c r="BS665" t="s">
        <v>9383</v>
      </c>
      <c r="BT665" t="str">
        <f>HYPERLINK("https%3A%2F%2Fwww.webofscience.com%2Fwos%2Fwoscc%2Ffull-record%2FWOS:000178547100004","View Full Record in Web of Science")</f>
        <v>View Full Record in Web of Science</v>
      </c>
    </row>
    <row r="666" spans="1:72" x14ac:dyDescent="0.15">
      <c r="A666" t="s">
        <v>552</v>
      </c>
      <c r="B666" t="s">
        <v>9384</v>
      </c>
      <c r="C666" t="s">
        <v>74</v>
      </c>
      <c r="D666" t="s">
        <v>74</v>
      </c>
      <c r="E666" t="s">
        <v>74</v>
      </c>
      <c r="F666" t="s">
        <v>9384</v>
      </c>
      <c r="G666" t="s">
        <v>74</v>
      </c>
      <c r="H666" t="s">
        <v>74</v>
      </c>
      <c r="I666" t="s">
        <v>9385</v>
      </c>
      <c r="J666" t="s">
        <v>9386</v>
      </c>
      <c r="K666" t="s">
        <v>74</v>
      </c>
      <c r="L666" t="s">
        <v>74</v>
      </c>
      <c r="M666" t="s">
        <v>78</v>
      </c>
      <c r="N666" t="s">
        <v>775</v>
      </c>
      <c r="O666" t="s">
        <v>74</v>
      </c>
      <c r="P666" t="s">
        <v>74</v>
      </c>
      <c r="Q666" t="s">
        <v>74</v>
      </c>
      <c r="R666" t="s">
        <v>74</v>
      </c>
      <c r="S666" t="s">
        <v>74</v>
      </c>
      <c r="T666" t="s">
        <v>74</v>
      </c>
      <c r="U666" t="s">
        <v>9387</v>
      </c>
      <c r="V666" t="s">
        <v>9388</v>
      </c>
      <c r="W666" t="s">
        <v>9389</v>
      </c>
      <c r="X666" t="s">
        <v>9390</v>
      </c>
      <c r="Y666" t="s">
        <v>9391</v>
      </c>
      <c r="Z666" t="s">
        <v>74</v>
      </c>
      <c r="AA666" t="s">
        <v>9392</v>
      </c>
      <c r="AB666" t="s">
        <v>9393</v>
      </c>
      <c r="AC666" t="s">
        <v>74</v>
      </c>
      <c r="AD666" t="s">
        <v>74</v>
      </c>
      <c r="AE666" t="s">
        <v>74</v>
      </c>
      <c r="AF666" t="s">
        <v>74</v>
      </c>
      <c r="AG666">
        <v>72</v>
      </c>
      <c r="AH666">
        <v>50</v>
      </c>
      <c r="AI666">
        <v>52</v>
      </c>
      <c r="AJ666">
        <v>1</v>
      </c>
      <c r="AK666">
        <v>14</v>
      </c>
      <c r="AL666" t="s">
        <v>7896</v>
      </c>
      <c r="AM666" t="s">
        <v>7897</v>
      </c>
      <c r="AN666" t="s">
        <v>7898</v>
      </c>
      <c r="AO666" t="s">
        <v>9394</v>
      </c>
      <c r="AP666" t="s">
        <v>9395</v>
      </c>
      <c r="AQ666" t="s">
        <v>74</v>
      </c>
      <c r="AR666" t="s">
        <v>9386</v>
      </c>
      <c r="AS666" t="s">
        <v>9396</v>
      </c>
      <c r="AT666" t="s">
        <v>8551</v>
      </c>
      <c r="AU666">
        <v>2002</v>
      </c>
      <c r="AV666">
        <v>17</v>
      </c>
      <c r="AW666">
        <v>5</v>
      </c>
      <c r="AX666" t="s">
        <v>74</v>
      </c>
      <c r="AY666" t="s">
        <v>74</v>
      </c>
      <c r="AZ666" t="s">
        <v>74</v>
      </c>
      <c r="BA666" t="s">
        <v>74</v>
      </c>
      <c r="BB666">
        <v>491</v>
      </c>
      <c r="BC666">
        <v>506</v>
      </c>
      <c r="BD666" t="s">
        <v>74</v>
      </c>
      <c r="BE666" t="s">
        <v>9397</v>
      </c>
      <c r="BF666" t="str">
        <f>HYPERLINK("http://dx.doi.org/10.1669/0883-1351(2002)017&lt;0491:TPOTCE&gt;2.0.CO;2","http://dx.doi.org/10.1669/0883-1351(2002)017&lt;0491:TPOTCE&gt;2.0.CO;2")</f>
        <v>http://dx.doi.org/10.1669/0883-1351(2002)017&lt;0491:TPOTCE&gt;2.0.CO;2</v>
      </c>
      <c r="BG666" t="s">
        <v>74</v>
      </c>
      <c r="BH666" t="s">
        <v>74</v>
      </c>
      <c r="BI666">
        <v>16</v>
      </c>
      <c r="BJ666" t="s">
        <v>6061</v>
      </c>
      <c r="BK666" t="s">
        <v>569</v>
      </c>
      <c r="BL666" t="s">
        <v>6061</v>
      </c>
      <c r="BM666" t="s">
        <v>9398</v>
      </c>
      <c r="BN666" t="s">
        <v>74</v>
      </c>
      <c r="BO666" t="s">
        <v>74</v>
      </c>
      <c r="BP666" t="s">
        <v>74</v>
      </c>
      <c r="BQ666" t="s">
        <v>74</v>
      </c>
      <c r="BR666" t="s">
        <v>98</v>
      </c>
      <c r="BS666" t="s">
        <v>9399</v>
      </c>
      <c r="BT666" t="str">
        <f>HYPERLINK("https%3A%2F%2Fwww.webofscience.com%2Fwos%2Fwoscc%2Ffull-record%2FWOS:000178569100006","View Full Record in Web of Science")</f>
        <v>View Full Record in Web of Science</v>
      </c>
    </row>
    <row r="667" spans="1:72" x14ac:dyDescent="0.15">
      <c r="A667" t="s">
        <v>552</v>
      </c>
      <c r="B667" t="s">
        <v>9400</v>
      </c>
      <c r="C667" t="s">
        <v>74</v>
      </c>
      <c r="D667" t="s">
        <v>74</v>
      </c>
      <c r="E667" t="s">
        <v>74</v>
      </c>
      <c r="F667" t="s">
        <v>9400</v>
      </c>
      <c r="G667" t="s">
        <v>74</v>
      </c>
      <c r="H667" t="s">
        <v>74</v>
      </c>
      <c r="I667" t="s">
        <v>9401</v>
      </c>
      <c r="J667" t="s">
        <v>5194</v>
      </c>
      <c r="K667" t="s">
        <v>74</v>
      </c>
      <c r="L667" t="s">
        <v>74</v>
      </c>
      <c r="M667" t="s">
        <v>78</v>
      </c>
      <c r="N667" t="s">
        <v>775</v>
      </c>
      <c r="O667" t="s">
        <v>74</v>
      </c>
      <c r="P667" t="s">
        <v>74</v>
      </c>
      <c r="Q667" t="s">
        <v>74</v>
      </c>
      <c r="R667" t="s">
        <v>74</v>
      </c>
      <c r="S667" t="s">
        <v>74</v>
      </c>
      <c r="T667" t="s">
        <v>9402</v>
      </c>
      <c r="U667" t="s">
        <v>9403</v>
      </c>
      <c r="V667" t="s">
        <v>9404</v>
      </c>
      <c r="W667" t="s">
        <v>9405</v>
      </c>
      <c r="X667" t="s">
        <v>9406</v>
      </c>
      <c r="Y667" t="s">
        <v>9407</v>
      </c>
      <c r="Z667" t="s">
        <v>9408</v>
      </c>
      <c r="AA667" t="s">
        <v>74</v>
      </c>
      <c r="AB667" t="s">
        <v>9409</v>
      </c>
      <c r="AC667" t="s">
        <v>74</v>
      </c>
      <c r="AD667" t="s">
        <v>74</v>
      </c>
      <c r="AE667" t="s">
        <v>74</v>
      </c>
      <c r="AF667" t="s">
        <v>74</v>
      </c>
      <c r="AG667">
        <v>42</v>
      </c>
      <c r="AH667">
        <v>14</v>
      </c>
      <c r="AI667">
        <v>14</v>
      </c>
      <c r="AJ667">
        <v>0</v>
      </c>
      <c r="AK667">
        <v>10</v>
      </c>
      <c r="AL667" t="s">
        <v>387</v>
      </c>
      <c r="AM667" t="s">
        <v>388</v>
      </c>
      <c r="AN667" t="s">
        <v>389</v>
      </c>
      <c r="AO667" t="s">
        <v>5202</v>
      </c>
      <c r="AP667" t="s">
        <v>5203</v>
      </c>
      <c r="AQ667" t="s">
        <v>74</v>
      </c>
      <c r="AR667" t="s">
        <v>5194</v>
      </c>
      <c r="AS667" t="s">
        <v>5204</v>
      </c>
      <c r="AT667" t="s">
        <v>8856</v>
      </c>
      <c r="AU667">
        <v>2002</v>
      </c>
      <c r="AV667">
        <v>17</v>
      </c>
      <c r="AW667">
        <v>4</v>
      </c>
      <c r="AX667" t="s">
        <v>74</v>
      </c>
      <c r="AY667" t="s">
        <v>74</v>
      </c>
      <c r="AZ667" t="s">
        <v>74</v>
      </c>
      <c r="BA667" t="s">
        <v>74</v>
      </c>
      <c r="BB667" t="s">
        <v>74</v>
      </c>
      <c r="BC667" t="s">
        <v>74</v>
      </c>
      <c r="BD667">
        <v>1064</v>
      </c>
      <c r="BE667" t="s">
        <v>9410</v>
      </c>
      <c r="BF667" t="str">
        <f>HYPERLINK("http://dx.doi.org/10.1029/2001PA000659","http://dx.doi.org/10.1029/2001PA000659")</f>
        <v>http://dx.doi.org/10.1029/2001PA000659</v>
      </c>
      <c r="BG667" t="s">
        <v>74</v>
      </c>
      <c r="BH667" t="s">
        <v>74</v>
      </c>
      <c r="BI667">
        <v>10</v>
      </c>
      <c r="BJ667" t="s">
        <v>5206</v>
      </c>
      <c r="BK667" t="s">
        <v>569</v>
      </c>
      <c r="BL667" t="s">
        <v>5207</v>
      </c>
      <c r="BM667" t="s">
        <v>9411</v>
      </c>
      <c r="BN667" t="s">
        <v>74</v>
      </c>
      <c r="BO667" t="s">
        <v>3298</v>
      </c>
      <c r="BP667" t="s">
        <v>74</v>
      </c>
      <c r="BQ667" t="s">
        <v>74</v>
      </c>
      <c r="BR667" t="s">
        <v>98</v>
      </c>
      <c r="BS667" t="s">
        <v>9412</v>
      </c>
      <c r="BT667" t="str">
        <f>HYPERLINK("https%3A%2F%2Fwww.webofscience.com%2Fwos%2Fwoscc%2Ffull-record%2FWOS:000180656400016","View Full Record in Web of Science")</f>
        <v>View Full Record in Web of Science</v>
      </c>
    </row>
    <row r="668" spans="1:72" x14ac:dyDescent="0.15">
      <c r="A668" t="s">
        <v>552</v>
      </c>
      <c r="B668" t="s">
        <v>9413</v>
      </c>
      <c r="C668" t="s">
        <v>74</v>
      </c>
      <c r="D668" t="s">
        <v>74</v>
      </c>
      <c r="E668" t="s">
        <v>74</v>
      </c>
      <c r="F668" t="s">
        <v>9413</v>
      </c>
      <c r="G668" t="s">
        <v>74</v>
      </c>
      <c r="H668" t="s">
        <v>74</v>
      </c>
      <c r="I668" t="s">
        <v>9414</v>
      </c>
      <c r="J668" t="s">
        <v>5194</v>
      </c>
      <c r="K668" t="s">
        <v>74</v>
      </c>
      <c r="L668" t="s">
        <v>74</v>
      </c>
      <c r="M668" t="s">
        <v>78</v>
      </c>
      <c r="N668" t="s">
        <v>775</v>
      </c>
      <c r="O668" t="s">
        <v>74</v>
      </c>
      <c r="P668" t="s">
        <v>74</v>
      </c>
      <c r="Q668" t="s">
        <v>74</v>
      </c>
      <c r="R668" t="s">
        <v>74</v>
      </c>
      <c r="S668" t="s">
        <v>74</v>
      </c>
      <c r="T668" t="s">
        <v>9415</v>
      </c>
      <c r="U668" t="s">
        <v>9416</v>
      </c>
      <c r="V668" t="s">
        <v>9417</v>
      </c>
      <c r="W668" t="s">
        <v>9418</v>
      </c>
      <c r="X668" t="s">
        <v>9419</v>
      </c>
      <c r="Y668" t="s">
        <v>9420</v>
      </c>
      <c r="Z668" t="s">
        <v>9421</v>
      </c>
      <c r="AA668" t="s">
        <v>74</v>
      </c>
      <c r="AB668" t="s">
        <v>9422</v>
      </c>
      <c r="AC668" t="s">
        <v>74</v>
      </c>
      <c r="AD668" t="s">
        <v>74</v>
      </c>
      <c r="AE668" t="s">
        <v>74</v>
      </c>
      <c r="AF668" t="s">
        <v>74</v>
      </c>
      <c r="AG668">
        <v>35</v>
      </c>
      <c r="AH668">
        <v>33</v>
      </c>
      <c r="AI668">
        <v>39</v>
      </c>
      <c r="AJ668">
        <v>1</v>
      </c>
      <c r="AK668">
        <v>20</v>
      </c>
      <c r="AL668" t="s">
        <v>387</v>
      </c>
      <c r="AM668" t="s">
        <v>388</v>
      </c>
      <c r="AN668" t="s">
        <v>389</v>
      </c>
      <c r="AO668" t="s">
        <v>5202</v>
      </c>
      <c r="AP668" t="s">
        <v>5203</v>
      </c>
      <c r="AQ668" t="s">
        <v>74</v>
      </c>
      <c r="AR668" t="s">
        <v>5194</v>
      </c>
      <c r="AS668" t="s">
        <v>5204</v>
      </c>
      <c r="AT668" t="s">
        <v>8856</v>
      </c>
      <c r="AU668">
        <v>2002</v>
      </c>
      <c r="AV668">
        <v>17</v>
      </c>
      <c r="AW668">
        <v>4</v>
      </c>
      <c r="AX668" t="s">
        <v>74</v>
      </c>
      <c r="AY668" t="s">
        <v>74</v>
      </c>
      <c r="AZ668" t="s">
        <v>74</v>
      </c>
      <c r="BA668" t="s">
        <v>74</v>
      </c>
      <c r="BB668" t="s">
        <v>74</v>
      </c>
      <c r="BC668" t="s">
        <v>74</v>
      </c>
      <c r="BD668">
        <v>1056</v>
      </c>
      <c r="BE668" t="s">
        <v>9423</v>
      </c>
      <c r="BF668" t="str">
        <f>HYPERLINK("http://dx.doi.org/10.1029/2000PA000599","http://dx.doi.org/10.1029/2000PA000599")</f>
        <v>http://dx.doi.org/10.1029/2000PA000599</v>
      </c>
      <c r="BG668" t="s">
        <v>74</v>
      </c>
      <c r="BH668" t="s">
        <v>74</v>
      </c>
      <c r="BI668">
        <v>7</v>
      </c>
      <c r="BJ668" t="s">
        <v>5206</v>
      </c>
      <c r="BK668" t="s">
        <v>569</v>
      </c>
      <c r="BL668" t="s">
        <v>5207</v>
      </c>
      <c r="BM668" t="s">
        <v>9411</v>
      </c>
      <c r="BN668" t="s">
        <v>74</v>
      </c>
      <c r="BO668" t="s">
        <v>3298</v>
      </c>
      <c r="BP668" t="s">
        <v>74</v>
      </c>
      <c r="BQ668" t="s">
        <v>74</v>
      </c>
      <c r="BR668" t="s">
        <v>98</v>
      </c>
      <c r="BS668" t="s">
        <v>9424</v>
      </c>
      <c r="BT668" t="str">
        <f>HYPERLINK("https%3A%2F%2Fwww.webofscience.com%2Fwos%2Fwoscc%2Ffull-record%2FWOS:000180656400008","View Full Record in Web of Science")</f>
        <v>View Full Record in Web of Science</v>
      </c>
    </row>
    <row r="669" spans="1:72" x14ac:dyDescent="0.15">
      <c r="A669" t="s">
        <v>552</v>
      </c>
      <c r="B669" t="s">
        <v>9425</v>
      </c>
      <c r="C669" t="s">
        <v>74</v>
      </c>
      <c r="D669" t="s">
        <v>74</v>
      </c>
      <c r="E669" t="s">
        <v>74</v>
      </c>
      <c r="F669" t="s">
        <v>9425</v>
      </c>
      <c r="G669" t="s">
        <v>74</v>
      </c>
      <c r="H669" t="s">
        <v>74</v>
      </c>
      <c r="I669" t="s">
        <v>9426</v>
      </c>
      <c r="J669" t="s">
        <v>6627</v>
      </c>
      <c r="K669" t="s">
        <v>74</v>
      </c>
      <c r="L669" t="s">
        <v>74</v>
      </c>
      <c r="M669" t="s">
        <v>78</v>
      </c>
      <c r="N669" t="s">
        <v>775</v>
      </c>
      <c r="O669" t="s">
        <v>74</v>
      </c>
      <c r="P669" t="s">
        <v>74</v>
      </c>
      <c r="Q669" t="s">
        <v>74</v>
      </c>
      <c r="R669" t="s">
        <v>74</v>
      </c>
      <c r="S669" t="s">
        <v>74</v>
      </c>
      <c r="T669" t="s">
        <v>9427</v>
      </c>
      <c r="U669" t="s">
        <v>9428</v>
      </c>
      <c r="V669" t="s">
        <v>9429</v>
      </c>
      <c r="W669" t="s">
        <v>9430</v>
      </c>
      <c r="X669" t="s">
        <v>9431</v>
      </c>
      <c r="Y669" t="s">
        <v>9432</v>
      </c>
      <c r="Z669" t="s">
        <v>9433</v>
      </c>
      <c r="AA669" t="s">
        <v>9434</v>
      </c>
      <c r="AB669" t="s">
        <v>9435</v>
      </c>
      <c r="AC669" t="s">
        <v>74</v>
      </c>
      <c r="AD669" t="s">
        <v>74</v>
      </c>
      <c r="AE669" t="s">
        <v>74</v>
      </c>
      <c r="AF669" t="s">
        <v>74</v>
      </c>
      <c r="AG669">
        <v>54</v>
      </c>
      <c r="AH669">
        <v>85</v>
      </c>
      <c r="AI669">
        <v>90</v>
      </c>
      <c r="AJ669">
        <v>1</v>
      </c>
      <c r="AK669">
        <v>39</v>
      </c>
      <c r="AL669" t="s">
        <v>1147</v>
      </c>
      <c r="AM669" t="s">
        <v>1148</v>
      </c>
      <c r="AN669" t="s">
        <v>1149</v>
      </c>
      <c r="AO669" t="s">
        <v>6636</v>
      </c>
      <c r="AP669" t="s">
        <v>9436</v>
      </c>
      <c r="AQ669" t="s">
        <v>74</v>
      </c>
      <c r="AR669" t="s">
        <v>6637</v>
      </c>
      <c r="AS669" t="s">
        <v>6638</v>
      </c>
      <c r="AT669" t="s">
        <v>8551</v>
      </c>
      <c r="AU669">
        <v>2002</v>
      </c>
      <c r="AV669">
        <v>25</v>
      </c>
      <c r="AW669">
        <v>10</v>
      </c>
      <c r="AX669" t="s">
        <v>74</v>
      </c>
      <c r="AY669" t="s">
        <v>74</v>
      </c>
      <c r="AZ669" t="s">
        <v>74</v>
      </c>
      <c r="BA669" t="s">
        <v>74</v>
      </c>
      <c r="BB669">
        <v>1239</v>
      </c>
      <c r="BC669">
        <v>1250</v>
      </c>
      <c r="BD669" t="s">
        <v>74</v>
      </c>
      <c r="BE669" t="s">
        <v>9437</v>
      </c>
      <c r="BF669" t="str">
        <f>HYPERLINK("http://dx.doi.org/10.1046/j.1365-3040.2002.00916.x","http://dx.doi.org/10.1046/j.1365-3040.2002.00916.x")</f>
        <v>http://dx.doi.org/10.1046/j.1365-3040.2002.00916.x</v>
      </c>
      <c r="BG669" t="s">
        <v>74</v>
      </c>
      <c r="BH669" t="s">
        <v>74</v>
      </c>
      <c r="BI669">
        <v>12</v>
      </c>
      <c r="BJ669" t="s">
        <v>2326</v>
      </c>
      <c r="BK669" t="s">
        <v>569</v>
      </c>
      <c r="BL669" t="s">
        <v>2326</v>
      </c>
      <c r="BM669" t="s">
        <v>9438</v>
      </c>
      <c r="BN669" t="s">
        <v>74</v>
      </c>
      <c r="BO669" t="s">
        <v>7284</v>
      </c>
      <c r="BP669" t="s">
        <v>74</v>
      </c>
      <c r="BQ669" t="s">
        <v>74</v>
      </c>
      <c r="BR669" t="s">
        <v>98</v>
      </c>
      <c r="BS669" t="s">
        <v>9439</v>
      </c>
      <c r="BT669" t="str">
        <f>HYPERLINK("https%3A%2F%2Fwww.webofscience.com%2Fwos%2Fwoscc%2Ffull-record%2FWOS:000178134800004","View Full Record in Web of Science")</f>
        <v>View Full Record in Web of Science</v>
      </c>
    </row>
    <row r="670" spans="1:72" x14ac:dyDescent="0.15">
      <c r="A670" t="s">
        <v>552</v>
      </c>
      <c r="B670" t="s">
        <v>9440</v>
      </c>
      <c r="C670" t="s">
        <v>74</v>
      </c>
      <c r="D670" t="s">
        <v>74</v>
      </c>
      <c r="E670" t="s">
        <v>74</v>
      </c>
      <c r="F670" t="s">
        <v>9440</v>
      </c>
      <c r="G670" t="s">
        <v>74</v>
      </c>
      <c r="H670" t="s">
        <v>74</v>
      </c>
      <c r="I670" t="s">
        <v>9441</v>
      </c>
      <c r="J670" t="s">
        <v>4431</v>
      </c>
      <c r="K670" t="s">
        <v>74</v>
      </c>
      <c r="L670" t="s">
        <v>74</v>
      </c>
      <c r="M670" t="s">
        <v>78</v>
      </c>
      <c r="N670" t="s">
        <v>775</v>
      </c>
      <c r="O670" t="s">
        <v>74</v>
      </c>
      <c r="P670" t="s">
        <v>74</v>
      </c>
      <c r="Q670" t="s">
        <v>74</v>
      </c>
      <c r="R670" t="s">
        <v>74</v>
      </c>
      <c r="S670" t="s">
        <v>74</v>
      </c>
      <c r="T670" t="s">
        <v>74</v>
      </c>
      <c r="U670" t="s">
        <v>9442</v>
      </c>
      <c r="V670" t="s">
        <v>9443</v>
      </c>
      <c r="W670" t="s">
        <v>301</v>
      </c>
      <c r="X670" t="s">
        <v>302</v>
      </c>
      <c r="Y670" t="s">
        <v>9444</v>
      </c>
      <c r="Z670" t="s">
        <v>74</v>
      </c>
      <c r="AA670" t="s">
        <v>9445</v>
      </c>
      <c r="AB670" t="s">
        <v>74</v>
      </c>
      <c r="AC670" t="s">
        <v>74</v>
      </c>
      <c r="AD670" t="s">
        <v>74</v>
      </c>
      <c r="AE670" t="s">
        <v>74</v>
      </c>
      <c r="AF670" t="s">
        <v>74</v>
      </c>
      <c r="AG670">
        <v>12</v>
      </c>
      <c r="AH670">
        <v>3</v>
      </c>
      <c r="AI670">
        <v>3</v>
      </c>
      <c r="AJ670">
        <v>0</v>
      </c>
      <c r="AK670">
        <v>4</v>
      </c>
      <c r="AL670" t="s">
        <v>1259</v>
      </c>
      <c r="AM670" t="s">
        <v>561</v>
      </c>
      <c r="AN670" t="s">
        <v>1260</v>
      </c>
      <c r="AO670" t="s">
        <v>4435</v>
      </c>
      <c r="AP670" t="s">
        <v>74</v>
      </c>
      <c r="AQ670" t="s">
        <v>74</v>
      </c>
      <c r="AR670" t="s">
        <v>4436</v>
      </c>
      <c r="AS670" t="s">
        <v>4437</v>
      </c>
      <c r="AT670" t="s">
        <v>8551</v>
      </c>
      <c r="AU670">
        <v>2002</v>
      </c>
      <c r="AV670">
        <v>25</v>
      </c>
      <c r="AW670">
        <v>10</v>
      </c>
      <c r="AX670" t="s">
        <v>74</v>
      </c>
      <c r="AY670" t="s">
        <v>74</v>
      </c>
      <c r="AZ670" t="s">
        <v>74</v>
      </c>
      <c r="BA670" t="s">
        <v>74</v>
      </c>
      <c r="BB670">
        <v>717</v>
      </c>
      <c r="BC670">
        <v>720</v>
      </c>
      <c r="BD670" t="s">
        <v>74</v>
      </c>
      <c r="BE670" t="s">
        <v>9446</v>
      </c>
      <c r="BF670" t="str">
        <f>HYPERLINK("http://dx.doi.org/10.1007/s00300-002-0397-4","http://dx.doi.org/10.1007/s00300-002-0397-4")</f>
        <v>http://dx.doi.org/10.1007/s00300-002-0397-4</v>
      </c>
      <c r="BG670" t="s">
        <v>74</v>
      </c>
      <c r="BH670" t="s">
        <v>74</v>
      </c>
      <c r="BI670">
        <v>4</v>
      </c>
      <c r="BJ670" t="s">
        <v>4439</v>
      </c>
      <c r="BK670" t="s">
        <v>569</v>
      </c>
      <c r="BL670" t="s">
        <v>4440</v>
      </c>
      <c r="BM670" t="s">
        <v>9447</v>
      </c>
      <c r="BN670" t="s">
        <v>74</v>
      </c>
      <c r="BO670" t="s">
        <v>74</v>
      </c>
      <c r="BP670" t="s">
        <v>74</v>
      </c>
      <c r="BQ670" t="s">
        <v>74</v>
      </c>
      <c r="BR670" t="s">
        <v>98</v>
      </c>
      <c r="BS670" t="s">
        <v>9448</v>
      </c>
      <c r="BT670" t="str">
        <f>HYPERLINK("https%3A%2F%2Fwww.webofscience.com%2Fwos%2Fwoscc%2Ffull-record%2FWOS:000178842800001","View Full Record in Web of Science")</f>
        <v>View Full Record in Web of Science</v>
      </c>
    </row>
    <row r="671" spans="1:72" x14ac:dyDescent="0.15">
      <c r="A671" t="s">
        <v>552</v>
      </c>
      <c r="B671" t="s">
        <v>9449</v>
      </c>
      <c r="C671" t="s">
        <v>74</v>
      </c>
      <c r="D671" t="s">
        <v>74</v>
      </c>
      <c r="E671" t="s">
        <v>74</v>
      </c>
      <c r="F671" t="s">
        <v>9449</v>
      </c>
      <c r="G671" t="s">
        <v>74</v>
      </c>
      <c r="H671" t="s">
        <v>74</v>
      </c>
      <c r="I671" t="s">
        <v>9450</v>
      </c>
      <c r="J671" t="s">
        <v>4431</v>
      </c>
      <c r="K671" t="s">
        <v>74</v>
      </c>
      <c r="L671" t="s">
        <v>74</v>
      </c>
      <c r="M671" t="s">
        <v>78</v>
      </c>
      <c r="N671" t="s">
        <v>775</v>
      </c>
      <c r="O671" t="s">
        <v>74</v>
      </c>
      <c r="P671" t="s">
        <v>74</v>
      </c>
      <c r="Q671" t="s">
        <v>74</v>
      </c>
      <c r="R671" t="s">
        <v>74</v>
      </c>
      <c r="S671" t="s">
        <v>74</v>
      </c>
      <c r="T671" t="s">
        <v>74</v>
      </c>
      <c r="U671" t="s">
        <v>9451</v>
      </c>
      <c r="V671" t="s">
        <v>9452</v>
      </c>
      <c r="W671" t="s">
        <v>9453</v>
      </c>
      <c r="X671" t="s">
        <v>9454</v>
      </c>
      <c r="Y671" t="s">
        <v>369</v>
      </c>
      <c r="Z671" t="s">
        <v>9455</v>
      </c>
      <c r="AA671" t="s">
        <v>74</v>
      </c>
      <c r="AB671" t="s">
        <v>74</v>
      </c>
      <c r="AC671" t="s">
        <v>74</v>
      </c>
      <c r="AD671" t="s">
        <v>74</v>
      </c>
      <c r="AE671" t="s">
        <v>74</v>
      </c>
      <c r="AF671" t="s">
        <v>74</v>
      </c>
      <c r="AG671">
        <v>37</v>
      </c>
      <c r="AH671">
        <v>28</v>
      </c>
      <c r="AI671">
        <v>32</v>
      </c>
      <c r="AJ671">
        <v>0</v>
      </c>
      <c r="AK671">
        <v>13</v>
      </c>
      <c r="AL671" t="s">
        <v>1230</v>
      </c>
      <c r="AM671" t="s">
        <v>561</v>
      </c>
      <c r="AN671" t="s">
        <v>1231</v>
      </c>
      <c r="AO671" t="s">
        <v>4435</v>
      </c>
      <c r="AP671" t="s">
        <v>4450</v>
      </c>
      <c r="AQ671" t="s">
        <v>74</v>
      </c>
      <c r="AR671" t="s">
        <v>4436</v>
      </c>
      <c r="AS671" t="s">
        <v>4437</v>
      </c>
      <c r="AT671" t="s">
        <v>8551</v>
      </c>
      <c r="AU671">
        <v>2002</v>
      </c>
      <c r="AV671">
        <v>25</v>
      </c>
      <c r="AW671">
        <v>10</v>
      </c>
      <c r="AX671" t="s">
        <v>74</v>
      </c>
      <c r="AY671" t="s">
        <v>74</v>
      </c>
      <c r="AZ671" t="s">
        <v>74</v>
      </c>
      <c r="BA671" t="s">
        <v>74</v>
      </c>
      <c r="BB671">
        <v>744</v>
      </c>
      <c r="BC671">
        <v>752</v>
      </c>
      <c r="BD671" t="s">
        <v>74</v>
      </c>
      <c r="BE671" t="s">
        <v>9456</v>
      </c>
      <c r="BF671" t="str">
        <f>HYPERLINK("http://dx.doi.org/10.1007/s00300-002-0402-y","http://dx.doi.org/10.1007/s00300-002-0402-y")</f>
        <v>http://dx.doi.org/10.1007/s00300-002-0402-y</v>
      </c>
      <c r="BG671" t="s">
        <v>74</v>
      </c>
      <c r="BH671" t="s">
        <v>74</v>
      </c>
      <c r="BI671">
        <v>9</v>
      </c>
      <c r="BJ671" t="s">
        <v>4439</v>
      </c>
      <c r="BK671" t="s">
        <v>569</v>
      </c>
      <c r="BL671" t="s">
        <v>4440</v>
      </c>
      <c r="BM671" t="s">
        <v>9447</v>
      </c>
      <c r="BN671" t="s">
        <v>74</v>
      </c>
      <c r="BO671" t="s">
        <v>74</v>
      </c>
      <c r="BP671" t="s">
        <v>74</v>
      </c>
      <c r="BQ671" t="s">
        <v>74</v>
      </c>
      <c r="BR671" t="s">
        <v>98</v>
      </c>
      <c r="BS671" t="s">
        <v>9457</v>
      </c>
      <c r="BT671" t="str">
        <f>HYPERLINK("https%3A%2F%2Fwww.webofscience.com%2Fwos%2Fwoscc%2Ffull-record%2FWOS:000178842800005","View Full Record in Web of Science")</f>
        <v>View Full Record in Web of Science</v>
      </c>
    </row>
    <row r="672" spans="1:72" x14ac:dyDescent="0.15">
      <c r="A672" t="s">
        <v>552</v>
      </c>
      <c r="B672" t="s">
        <v>9458</v>
      </c>
      <c r="C672" t="s">
        <v>74</v>
      </c>
      <c r="D672" t="s">
        <v>74</v>
      </c>
      <c r="E672" t="s">
        <v>74</v>
      </c>
      <c r="F672" t="s">
        <v>9458</v>
      </c>
      <c r="G672" t="s">
        <v>74</v>
      </c>
      <c r="H672" t="s">
        <v>74</v>
      </c>
      <c r="I672" t="s">
        <v>9459</v>
      </c>
      <c r="J672" t="s">
        <v>4431</v>
      </c>
      <c r="K672" t="s">
        <v>74</v>
      </c>
      <c r="L672" t="s">
        <v>74</v>
      </c>
      <c r="M672" t="s">
        <v>78</v>
      </c>
      <c r="N672" t="s">
        <v>775</v>
      </c>
      <c r="O672" t="s">
        <v>74</v>
      </c>
      <c r="P672" t="s">
        <v>74</v>
      </c>
      <c r="Q672" t="s">
        <v>74</v>
      </c>
      <c r="R672" t="s">
        <v>74</v>
      </c>
      <c r="S672" t="s">
        <v>74</v>
      </c>
      <c r="T672" t="s">
        <v>74</v>
      </c>
      <c r="U672" t="s">
        <v>9460</v>
      </c>
      <c r="V672" t="s">
        <v>9461</v>
      </c>
      <c r="W672" t="s">
        <v>9462</v>
      </c>
      <c r="X672" t="s">
        <v>9463</v>
      </c>
      <c r="Y672" t="s">
        <v>9464</v>
      </c>
      <c r="Z672" t="s">
        <v>9465</v>
      </c>
      <c r="AA672" t="s">
        <v>9466</v>
      </c>
      <c r="AB672" t="s">
        <v>9467</v>
      </c>
      <c r="AC672" t="s">
        <v>74</v>
      </c>
      <c r="AD672" t="s">
        <v>74</v>
      </c>
      <c r="AE672" t="s">
        <v>74</v>
      </c>
      <c r="AF672" t="s">
        <v>74</v>
      </c>
      <c r="AG672">
        <v>61</v>
      </c>
      <c r="AH672">
        <v>43</v>
      </c>
      <c r="AI672">
        <v>46</v>
      </c>
      <c r="AJ672">
        <v>0</v>
      </c>
      <c r="AK672">
        <v>10</v>
      </c>
      <c r="AL672" t="s">
        <v>1230</v>
      </c>
      <c r="AM672" t="s">
        <v>561</v>
      </c>
      <c r="AN672" t="s">
        <v>2959</v>
      </c>
      <c r="AO672" t="s">
        <v>4435</v>
      </c>
      <c r="AP672" t="s">
        <v>4450</v>
      </c>
      <c r="AQ672" t="s">
        <v>74</v>
      </c>
      <c r="AR672" t="s">
        <v>4436</v>
      </c>
      <c r="AS672" t="s">
        <v>4437</v>
      </c>
      <c r="AT672" t="s">
        <v>8551</v>
      </c>
      <c r="AU672">
        <v>2002</v>
      </c>
      <c r="AV672">
        <v>25</v>
      </c>
      <c r="AW672">
        <v>10</v>
      </c>
      <c r="AX672" t="s">
        <v>74</v>
      </c>
      <c r="AY672" t="s">
        <v>74</v>
      </c>
      <c r="AZ672" t="s">
        <v>74</v>
      </c>
      <c r="BA672" t="s">
        <v>74</v>
      </c>
      <c r="BB672">
        <v>753</v>
      </c>
      <c r="BC672">
        <v>760</v>
      </c>
      <c r="BD672" t="s">
        <v>74</v>
      </c>
      <c r="BE672" t="s">
        <v>9468</v>
      </c>
      <c r="BF672" t="str">
        <f>HYPERLINK("http://dx.doi.org/10.1007/s00300-002-0398-3","http://dx.doi.org/10.1007/s00300-002-0398-3")</f>
        <v>http://dx.doi.org/10.1007/s00300-002-0398-3</v>
      </c>
      <c r="BG672" t="s">
        <v>74</v>
      </c>
      <c r="BH672" t="s">
        <v>74</v>
      </c>
      <c r="BI672">
        <v>8</v>
      </c>
      <c r="BJ672" t="s">
        <v>4439</v>
      </c>
      <c r="BK672" t="s">
        <v>569</v>
      </c>
      <c r="BL672" t="s">
        <v>4440</v>
      </c>
      <c r="BM672" t="s">
        <v>9447</v>
      </c>
      <c r="BN672" t="s">
        <v>74</v>
      </c>
      <c r="BO672" t="s">
        <v>74</v>
      </c>
      <c r="BP672" t="s">
        <v>74</v>
      </c>
      <c r="BQ672" t="s">
        <v>74</v>
      </c>
      <c r="BR672" t="s">
        <v>98</v>
      </c>
      <c r="BS672" t="s">
        <v>9469</v>
      </c>
      <c r="BT672" t="str">
        <f>HYPERLINK("https%3A%2F%2Fwww.webofscience.com%2Fwos%2Fwoscc%2Ffull-record%2FWOS:000178842800006","View Full Record in Web of Science")</f>
        <v>View Full Record in Web of Science</v>
      </c>
    </row>
    <row r="673" spans="1:72" x14ac:dyDescent="0.15">
      <c r="A673" t="s">
        <v>552</v>
      </c>
      <c r="B673" t="s">
        <v>9470</v>
      </c>
      <c r="C673" t="s">
        <v>74</v>
      </c>
      <c r="D673" t="s">
        <v>74</v>
      </c>
      <c r="E673" t="s">
        <v>74</v>
      </c>
      <c r="F673" t="s">
        <v>9470</v>
      </c>
      <c r="G673" t="s">
        <v>74</v>
      </c>
      <c r="H673" t="s">
        <v>74</v>
      </c>
      <c r="I673" t="s">
        <v>9471</v>
      </c>
      <c r="J673" t="s">
        <v>4431</v>
      </c>
      <c r="K673" t="s">
        <v>74</v>
      </c>
      <c r="L673" t="s">
        <v>74</v>
      </c>
      <c r="M673" t="s">
        <v>78</v>
      </c>
      <c r="N673" t="s">
        <v>775</v>
      </c>
      <c r="O673" t="s">
        <v>74</v>
      </c>
      <c r="P673" t="s">
        <v>74</v>
      </c>
      <c r="Q673" t="s">
        <v>74</v>
      </c>
      <c r="R673" t="s">
        <v>74</v>
      </c>
      <c r="S673" t="s">
        <v>74</v>
      </c>
      <c r="T673" t="s">
        <v>74</v>
      </c>
      <c r="U673" t="s">
        <v>9472</v>
      </c>
      <c r="V673" t="s">
        <v>9473</v>
      </c>
      <c r="W673" t="s">
        <v>9474</v>
      </c>
      <c r="X673" t="s">
        <v>9475</v>
      </c>
      <c r="Y673" t="s">
        <v>9476</v>
      </c>
      <c r="Z673" t="s">
        <v>9477</v>
      </c>
      <c r="AA673" t="s">
        <v>9478</v>
      </c>
      <c r="AB673" t="s">
        <v>9479</v>
      </c>
      <c r="AC673" t="s">
        <v>74</v>
      </c>
      <c r="AD673" t="s">
        <v>74</v>
      </c>
      <c r="AE673" t="s">
        <v>74</v>
      </c>
      <c r="AF673" t="s">
        <v>74</v>
      </c>
      <c r="AG673">
        <v>40</v>
      </c>
      <c r="AH673">
        <v>15</v>
      </c>
      <c r="AI673">
        <v>21</v>
      </c>
      <c r="AJ673">
        <v>0</v>
      </c>
      <c r="AK673">
        <v>7</v>
      </c>
      <c r="AL673" t="s">
        <v>1230</v>
      </c>
      <c r="AM673" t="s">
        <v>561</v>
      </c>
      <c r="AN673" t="s">
        <v>1231</v>
      </c>
      <c r="AO673" t="s">
        <v>4435</v>
      </c>
      <c r="AP673" t="s">
        <v>4450</v>
      </c>
      <c r="AQ673" t="s">
        <v>74</v>
      </c>
      <c r="AR673" t="s">
        <v>4436</v>
      </c>
      <c r="AS673" t="s">
        <v>4437</v>
      </c>
      <c r="AT673" t="s">
        <v>8551</v>
      </c>
      <c r="AU673">
        <v>2002</v>
      </c>
      <c r="AV673">
        <v>25</v>
      </c>
      <c r="AW673">
        <v>10</v>
      </c>
      <c r="AX673" t="s">
        <v>74</v>
      </c>
      <c r="AY673" t="s">
        <v>74</v>
      </c>
      <c r="AZ673" t="s">
        <v>74</v>
      </c>
      <c r="BA673" t="s">
        <v>74</v>
      </c>
      <c r="BB673">
        <v>778</v>
      </c>
      <c r="BC673">
        <v>788</v>
      </c>
      <c r="BD673" t="s">
        <v>74</v>
      </c>
      <c r="BE673" t="s">
        <v>9480</v>
      </c>
      <c r="BF673" t="str">
        <f>HYPERLINK("http://dx.doi.org/10.1007/s00300-002-0411-x","http://dx.doi.org/10.1007/s00300-002-0411-x")</f>
        <v>http://dx.doi.org/10.1007/s00300-002-0411-x</v>
      </c>
      <c r="BG673" t="s">
        <v>74</v>
      </c>
      <c r="BH673" t="s">
        <v>74</v>
      </c>
      <c r="BI673">
        <v>11</v>
      </c>
      <c r="BJ673" t="s">
        <v>4439</v>
      </c>
      <c r="BK673" t="s">
        <v>569</v>
      </c>
      <c r="BL673" t="s">
        <v>4440</v>
      </c>
      <c r="BM673" t="s">
        <v>9447</v>
      </c>
      <c r="BN673" t="s">
        <v>74</v>
      </c>
      <c r="BO673" t="s">
        <v>74</v>
      </c>
      <c r="BP673" t="s">
        <v>74</v>
      </c>
      <c r="BQ673" t="s">
        <v>74</v>
      </c>
      <c r="BR673" t="s">
        <v>98</v>
      </c>
      <c r="BS673" t="s">
        <v>9481</v>
      </c>
      <c r="BT673" t="str">
        <f>HYPERLINK("https%3A%2F%2Fwww.webofscience.com%2Fwos%2Fwoscc%2Ffull-record%2FWOS:000178842800009","View Full Record in Web of Science")</f>
        <v>View Full Record in Web of Science</v>
      </c>
    </row>
    <row r="674" spans="1:72" x14ac:dyDescent="0.15">
      <c r="A674" t="s">
        <v>552</v>
      </c>
      <c r="B674" t="s">
        <v>9482</v>
      </c>
      <c r="C674" t="s">
        <v>74</v>
      </c>
      <c r="D674" t="s">
        <v>74</v>
      </c>
      <c r="E674" t="s">
        <v>74</v>
      </c>
      <c r="F674" t="s">
        <v>9482</v>
      </c>
      <c r="G674" t="s">
        <v>74</v>
      </c>
      <c r="H674" t="s">
        <v>74</v>
      </c>
      <c r="I674" t="s">
        <v>9483</v>
      </c>
      <c r="J674" t="s">
        <v>4431</v>
      </c>
      <c r="K674" t="s">
        <v>74</v>
      </c>
      <c r="L674" t="s">
        <v>74</v>
      </c>
      <c r="M674" t="s">
        <v>78</v>
      </c>
      <c r="N674" t="s">
        <v>775</v>
      </c>
      <c r="O674" t="s">
        <v>74</v>
      </c>
      <c r="P674" t="s">
        <v>74</v>
      </c>
      <c r="Q674" t="s">
        <v>74</v>
      </c>
      <c r="R674" t="s">
        <v>74</v>
      </c>
      <c r="S674" t="s">
        <v>74</v>
      </c>
      <c r="T674" t="s">
        <v>74</v>
      </c>
      <c r="U674" t="s">
        <v>9484</v>
      </c>
      <c r="V674" t="s">
        <v>9485</v>
      </c>
      <c r="W674" t="s">
        <v>9486</v>
      </c>
      <c r="X674" t="s">
        <v>9487</v>
      </c>
      <c r="Y674" t="s">
        <v>9488</v>
      </c>
      <c r="Z674" t="s">
        <v>74</v>
      </c>
      <c r="AA674" t="s">
        <v>9489</v>
      </c>
      <c r="AB674" t="s">
        <v>9490</v>
      </c>
      <c r="AC674" t="s">
        <v>74</v>
      </c>
      <c r="AD674" t="s">
        <v>74</v>
      </c>
      <c r="AE674" t="s">
        <v>74</v>
      </c>
      <c r="AF674" t="s">
        <v>74</v>
      </c>
      <c r="AG674">
        <v>22</v>
      </c>
      <c r="AH674">
        <v>18</v>
      </c>
      <c r="AI674">
        <v>24</v>
      </c>
      <c r="AJ674">
        <v>1</v>
      </c>
      <c r="AK674">
        <v>7</v>
      </c>
      <c r="AL674" t="s">
        <v>1259</v>
      </c>
      <c r="AM674" t="s">
        <v>561</v>
      </c>
      <c r="AN674" t="s">
        <v>1260</v>
      </c>
      <c r="AO674" t="s">
        <v>4435</v>
      </c>
      <c r="AP674" t="s">
        <v>74</v>
      </c>
      <c r="AQ674" t="s">
        <v>74</v>
      </c>
      <c r="AR674" t="s">
        <v>4436</v>
      </c>
      <c r="AS674" t="s">
        <v>4437</v>
      </c>
      <c r="AT674" t="s">
        <v>8551</v>
      </c>
      <c r="AU674">
        <v>2002</v>
      </c>
      <c r="AV674">
        <v>25</v>
      </c>
      <c r="AW674">
        <v>10</v>
      </c>
      <c r="AX674" t="s">
        <v>74</v>
      </c>
      <c r="AY674" t="s">
        <v>74</v>
      </c>
      <c r="AZ674" t="s">
        <v>74</v>
      </c>
      <c r="BA674" t="s">
        <v>74</v>
      </c>
      <c r="BB674">
        <v>789</v>
      </c>
      <c r="BC674">
        <v>793</v>
      </c>
      <c r="BD674" t="s">
        <v>74</v>
      </c>
      <c r="BE674" t="s">
        <v>9491</v>
      </c>
      <c r="BF674" t="str">
        <f>HYPERLINK("http://dx.doi.org/10.1007/s00300-002-0416-5","http://dx.doi.org/10.1007/s00300-002-0416-5")</f>
        <v>http://dx.doi.org/10.1007/s00300-002-0416-5</v>
      </c>
      <c r="BG674" t="s">
        <v>74</v>
      </c>
      <c r="BH674" t="s">
        <v>74</v>
      </c>
      <c r="BI674">
        <v>5</v>
      </c>
      <c r="BJ674" t="s">
        <v>4439</v>
      </c>
      <c r="BK674" t="s">
        <v>569</v>
      </c>
      <c r="BL674" t="s">
        <v>4440</v>
      </c>
      <c r="BM674" t="s">
        <v>9447</v>
      </c>
      <c r="BN674" t="s">
        <v>74</v>
      </c>
      <c r="BO674" t="s">
        <v>74</v>
      </c>
      <c r="BP674" t="s">
        <v>74</v>
      </c>
      <c r="BQ674" t="s">
        <v>74</v>
      </c>
      <c r="BR674" t="s">
        <v>98</v>
      </c>
      <c r="BS674" t="s">
        <v>9492</v>
      </c>
      <c r="BT674" t="str">
        <f>HYPERLINK("https%3A%2F%2Fwww.webofscience.com%2Fwos%2Fwoscc%2Ffull-record%2FWOS:000178842800010","View Full Record in Web of Science")</f>
        <v>View Full Record in Web of Science</v>
      </c>
    </row>
    <row r="675" spans="1:72" x14ac:dyDescent="0.15">
      <c r="A675" t="s">
        <v>552</v>
      </c>
      <c r="B675" t="s">
        <v>9493</v>
      </c>
      <c r="C675" t="s">
        <v>74</v>
      </c>
      <c r="D675" t="s">
        <v>74</v>
      </c>
      <c r="E675" t="s">
        <v>74</v>
      </c>
      <c r="F675" t="s">
        <v>9493</v>
      </c>
      <c r="G675" t="s">
        <v>74</v>
      </c>
      <c r="H675" t="s">
        <v>74</v>
      </c>
      <c r="I675" t="s">
        <v>9494</v>
      </c>
      <c r="J675" t="s">
        <v>4431</v>
      </c>
      <c r="K675" t="s">
        <v>74</v>
      </c>
      <c r="L675" t="s">
        <v>74</v>
      </c>
      <c r="M675" t="s">
        <v>78</v>
      </c>
      <c r="N675" t="s">
        <v>1792</v>
      </c>
      <c r="O675" t="s">
        <v>74</v>
      </c>
      <c r="P675" t="s">
        <v>74</v>
      </c>
      <c r="Q675" t="s">
        <v>74</v>
      </c>
      <c r="R675" t="s">
        <v>74</v>
      </c>
      <c r="S675" t="s">
        <v>74</v>
      </c>
      <c r="T675" t="s">
        <v>74</v>
      </c>
      <c r="U675" t="s">
        <v>74</v>
      </c>
      <c r="V675" t="s">
        <v>74</v>
      </c>
      <c r="W675" t="s">
        <v>9495</v>
      </c>
      <c r="X675" t="s">
        <v>9496</v>
      </c>
      <c r="Y675" t="s">
        <v>9497</v>
      </c>
      <c r="Z675" t="s">
        <v>74</v>
      </c>
      <c r="AA675" t="s">
        <v>74</v>
      </c>
      <c r="AB675" t="s">
        <v>9498</v>
      </c>
      <c r="AC675" t="s">
        <v>74</v>
      </c>
      <c r="AD675" t="s">
        <v>74</v>
      </c>
      <c r="AE675" t="s">
        <v>74</v>
      </c>
      <c r="AF675" t="s">
        <v>74</v>
      </c>
      <c r="AG675">
        <v>1</v>
      </c>
      <c r="AH675">
        <v>0</v>
      </c>
      <c r="AI675">
        <v>0</v>
      </c>
      <c r="AJ675">
        <v>0</v>
      </c>
      <c r="AK675">
        <v>3</v>
      </c>
      <c r="AL675" t="s">
        <v>1259</v>
      </c>
      <c r="AM675" t="s">
        <v>561</v>
      </c>
      <c r="AN675" t="s">
        <v>1260</v>
      </c>
      <c r="AO675" t="s">
        <v>4435</v>
      </c>
      <c r="AP675" t="s">
        <v>74</v>
      </c>
      <c r="AQ675" t="s">
        <v>74</v>
      </c>
      <c r="AR675" t="s">
        <v>4436</v>
      </c>
      <c r="AS675" t="s">
        <v>4437</v>
      </c>
      <c r="AT675" t="s">
        <v>8551</v>
      </c>
      <c r="AU675">
        <v>2002</v>
      </c>
      <c r="AV675">
        <v>25</v>
      </c>
      <c r="AW675">
        <v>10</v>
      </c>
      <c r="AX675" t="s">
        <v>74</v>
      </c>
      <c r="AY675" t="s">
        <v>74</v>
      </c>
      <c r="AZ675" t="s">
        <v>74</v>
      </c>
      <c r="BA675" t="s">
        <v>74</v>
      </c>
      <c r="BB675">
        <v>797</v>
      </c>
      <c r="BC675">
        <v>797</v>
      </c>
      <c r="BD675" t="s">
        <v>74</v>
      </c>
      <c r="BE675" t="s">
        <v>9499</v>
      </c>
      <c r="BF675" t="str">
        <f>HYPERLINK("http://dx.doi.org/10.1007/s00300-002-0426-3","http://dx.doi.org/10.1007/s00300-002-0426-3")</f>
        <v>http://dx.doi.org/10.1007/s00300-002-0426-3</v>
      </c>
      <c r="BG675" t="s">
        <v>74</v>
      </c>
      <c r="BH675" t="s">
        <v>74</v>
      </c>
      <c r="BI675">
        <v>1</v>
      </c>
      <c r="BJ675" t="s">
        <v>4439</v>
      </c>
      <c r="BK675" t="s">
        <v>569</v>
      </c>
      <c r="BL675" t="s">
        <v>4440</v>
      </c>
      <c r="BM675" t="s">
        <v>9447</v>
      </c>
      <c r="BN675" t="s">
        <v>74</v>
      </c>
      <c r="BO675" t="s">
        <v>74</v>
      </c>
      <c r="BP675" t="s">
        <v>74</v>
      </c>
      <c r="BQ675" t="s">
        <v>74</v>
      </c>
      <c r="BR675" t="s">
        <v>98</v>
      </c>
      <c r="BS675" t="s">
        <v>9500</v>
      </c>
      <c r="BT675" t="str">
        <f>HYPERLINK("https%3A%2F%2Fwww.webofscience.com%2Fwos%2Fwoscc%2Ffull-record%2FWOS:000178842800012","View Full Record in Web of Science")</f>
        <v>View Full Record in Web of Science</v>
      </c>
    </row>
    <row r="676" spans="1:72" x14ac:dyDescent="0.15">
      <c r="A676" t="s">
        <v>552</v>
      </c>
      <c r="B676" t="s">
        <v>9501</v>
      </c>
      <c r="C676" t="s">
        <v>74</v>
      </c>
      <c r="D676" t="s">
        <v>74</v>
      </c>
      <c r="E676" t="s">
        <v>74</v>
      </c>
      <c r="F676" t="s">
        <v>9501</v>
      </c>
      <c r="G676" t="s">
        <v>74</v>
      </c>
      <c r="H676" t="s">
        <v>74</v>
      </c>
      <c r="I676" t="s">
        <v>9502</v>
      </c>
      <c r="J676" t="s">
        <v>9503</v>
      </c>
      <c r="K676" t="s">
        <v>74</v>
      </c>
      <c r="L676" t="s">
        <v>74</v>
      </c>
      <c r="M676" t="s">
        <v>78</v>
      </c>
      <c r="N676" t="s">
        <v>775</v>
      </c>
      <c r="O676" t="s">
        <v>74</v>
      </c>
      <c r="P676" t="s">
        <v>74</v>
      </c>
      <c r="Q676" t="s">
        <v>74</v>
      </c>
      <c r="R676" t="s">
        <v>74</v>
      </c>
      <c r="S676" t="s">
        <v>74</v>
      </c>
      <c r="T676" t="s">
        <v>74</v>
      </c>
      <c r="U676" t="s">
        <v>9504</v>
      </c>
      <c r="V676" t="s">
        <v>9505</v>
      </c>
      <c r="W676" t="s">
        <v>9506</v>
      </c>
      <c r="X676" t="s">
        <v>9507</v>
      </c>
      <c r="Y676" t="s">
        <v>9508</v>
      </c>
      <c r="Z676" t="s">
        <v>74</v>
      </c>
      <c r="AA676" t="s">
        <v>9509</v>
      </c>
      <c r="AB676" t="s">
        <v>9510</v>
      </c>
      <c r="AC676" t="s">
        <v>74</v>
      </c>
      <c r="AD676" t="s">
        <v>74</v>
      </c>
      <c r="AE676" t="s">
        <v>74</v>
      </c>
      <c r="AF676" t="s">
        <v>74</v>
      </c>
      <c r="AG676">
        <v>25</v>
      </c>
      <c r="AH676">
        <v>38</v>
      </c>
      <c r="AI676">
        <v>58</v>
      </c>
      <c r="AJ676">
        <v>6</v>
      </c>
      <c r="AK676">
        <v>36</v>
      </c>
      <c r="AL676" t="s">
        <v>4649</v>
      </c>
      <c r="AM676" t="s">
        <v>2542</v>
      </c>
      <c r="AN676" t="s">
        <v>4650</v>
      </c>
      <c r="AO676" t="s">
        <v>9511</v>
      </c>
      <c r="AP676" t="s">
        <v>74</v>
      </c>
      <c r="AQ676" t="s">
        <v>74</v>
      </c>
      <c r="AR676" t="s">
        <v>9512</v>
      </c>
      <c r="AS676" t="s">
        <v>9513</v>
      </c>
      <c r="AT676" t="s">
        <v>8551</v>
      </c>
      <c r="AU676">
        <v>2002</v>
      </c>
      <c r="AV676">
        <v>26</v>
      </c>
      <c r="AW676">
        <v>1</v>
      </c>
      <c r="AX676" t="s">
        <v>74</v>
      </c>
      <c r="AY676" t="s">
        <v>74</v>
      </c>
      <c r="AZ676" t="s">
        <v>74</v>
      </c>
      <c r="BA676" t="s">
        <v>74</v>
      </c>
      <c r="BB676">
        <v>153</v>
      </c>
      <c r="BC676">
        <v>161</v>
      </c>
      <c r="BD676" t="s">
        <v>9514</v>
      </c>
      <c r="BE676" t="s">
        <v>9515</v>
      </c>
      <c r="BF676" t="str">
        <f>HYPERLINK("http://dx.doi.org/10.1016/S1046-5928(02)00519-3","http://dx.doi.org/10.1016/S1046-5928(02)00519-3")</f>
        <v>http://dx.doi.org/10.1016/S1046-5928(02)00519-3</v>
      </c>
      <c r="BG676" t="s">
        <v>74</v>
      </c>
      <c r="BH676" t="s">
        <v>74</v>
      </c>
      <c r="BI676">
        <v>9</v>
      </c>
      <c r="BJ676" t="s">
        <v>9516</v>
      </c>
      <c r="BK676" t="s">
        <v>569</v>
      </c>
      <c r="BL676" t="s">
        <v>9517</v>
      </c>
      <c r="BM676" t="s">
        <v>9518</v>
      </c>
      <c r="BN676">
        <v>12356483</v>
      </c>
      <c r="BO676" t="s">
        <v>74</v>
      </c>
      <c r="BP676" t="s">
        <v>74</v>
      </c>
      <c r="BQ676" t="s">
        <v>74</v>
      </c>
      <c r="BR676" t="s">
        <v>98</v>
      </c>
      <c r="BS676" t="s">
        <v>9519</v>
      </c>
      <c r="BT676" t="str">
        <f>HYPERLINK("https%3A%2F%2Fwww.webofscience.com%2Fwos%2Fwoscc%2Ffull-record%2FWOS:000179113700021","View Full Record in Web of Science")</f>
        <v>View Full Record in Web of Science</v>
      </c>
    </row>
    <row r="677" spans="1:72" x14ac:dyDescent="0.15">
      <c r="A677" t="s">
        <v>552</v>
      </c>
      <c r="B677" t="s">
        <v>9520</v>
      </c>
      <c r="C677" t="s">
        <v>74</v>
      </c>
      <c r="D677" t="s">
        <v>74</v>
      </c>
      <c r="E677" t="s">
        <v>74</v>
      </c>
      <c r="F677" t="s">
        <v>9520</v>
      </c>
      <c r="G677" t="s">
        <v>74</v>
      </c>
      <c r="H677" t="s">
        <v>74</v>
      </c>
      <c r="I677" t="s">
        <v>9521</v>
      </c>
      <c r="J677" t="s">
        <v>4889</v>
      </c>
      <c r="K677" t="s">
        <v>74</v>
      </c>
      <c r="L677" t="s">
        <v>74</v>
      </c>
      <c r="M677" t="s">
        <v>78</v>
      </c>
      <c r="N677" t="s">
        <v>576</v>
      </c>
      <c r="O677" t="s">
        <v>9522</v>
      </c>
      <c r="P677" t="s">
        <v>9523</v>
      </c>
      <c r="Q677" t="s">
        <v>9524</v>
      </c>
      <c r="R677" t="s">
        <v>74</v>
      </c>
      <c r="S677" t="s">
        <v>9525</v>
      </c>
      <c r="T677" t="s">
        <v>74</v>
      </c>
      <c r="U677" t="s">
        <v>9526</v>
      </c>
      <c r="V677" t="s">
        <v>9527</v>
      </c>
      <c r="W677" t="s">
        <v>3992</v>
      </c>
      <c r="X677" t="s">
        <v>239</v>
      </c>
      <c r="Y677" t="s">
        <v>9528</v>
      </c>
      <c r="Z677" t="s">
        <v>74</v>
      </c>
      <c r="AA677" t="s">
        <v>9529</v>
      </c>
      <c r="AB677" t="s">
        <v>9530</v>
      </c>
      <c r="AC677" t="s">
        <v>74</v>
      </c>
      <c r="AD677" t="s">
        <v>74</v>
      </c>
      <c r="AE677" t="s">
        <v>74</v>
      </c>
      <c r="AF677" t="s">
        <v>74</v>
      </c>
      <c r="AG677">
        <v>35</v>
      </c>
      <c r="AH677">
        <v>40</v>
      </c>
      <c r="AI677">
        <v>45</v>
      </c>
      <c r="AJ677">
        <v>0</v>
      </c>
      <c r="AK677">
        <v>9</v>
      </c>
      <c r="AL677" t="s">
        <v>4897</v>
      </c>
      <c r="AM677" t="s">
        <v>4898</v>
      </c>
      <c r="AN677" t="s">
        <v>4899</v>
      </c>
      <c r="AO677" t="s">
        <v>4900</v>
      </c>
      <c r="AP677" t="s">
        <v>74</v>
      </c>
      <c r="AQ677" t="s">
        <v>74</v>
      </c>
      <c r="AR677" t="s">
        <v>4901</v>
      </c>
      <c r="AS677" t="s">
        <v>4902</v>
      </c>
      <c r="AT677" t="s">
        <v>8551</v>
      </c>
      <c r="AU677">
        <v>2002</v>
      </c>
      <c r="AV677">
        <v>54</v>
      </c>
      <c r="AW677">
        <v>5</v>
      </c>
      <c r="AX677" t="s">
        <v>74</v>
      </c>
      <c r="AY677" t="s">
        <v>74</v>
      </c>
      <c r="AZ677" t="s">
        <v>74</v>
      </c>
      <c r="BA677" t="s">
        <v>74</v>
      </c>
      <c r="BB677">
        <v>463</v>
      </c>
      <c r="BC677">
        <v>484</v>
      </c>
      <c r="BD677" t="s">
        <v>74</v>
      </c>
      <c r="BE677" t="s">
        <v>9531</v>
      </c>
      <c r="BF677" t="str">
        <f>HYPERLINK("http://dx.doi.org/10.1034/j.1600-0870.2002.201397.x","http://dx.doi.org/10.1034/j.1600-0870.2002.201397.x")</f>
        <v>http://dx.doi.org/10.1034/j.1600-0870.2002.201397.x</v>
      </c>
      <c r="BG677" t="s">
        <v>74</v>
      </c>
      <c r="BH677" t="s">
        <v>74</v>
      </c>
      <c r="BI677">
        <v>22</v>
      </c>
      <c r="BJ677" t="s">
        <v>2497</v>
      </c>
      <c r="BK677" t="s">
        <v>589</v>
      </c>
      <c r="BL677" t="s">
        <v>2497</v>
      </c>
      <c r="BM677" t="s">
        <v>9532</v>
      </c>
      <c r="BN677" t="s">
        <v>74</v>
      </c>
      <c r="BO677" t="s">
        <v>2660</v>
      </c>
      <c r="BP677" t="s">
        <v>74</v>
      </c>
      <c r="BQ677" t="s">
        <v>74</v>
      </c>
      <c r="BR677" t="s">
        <v>98</v>
      </c>
      <c r="BS677" t="s">
        <v>9533</v>
      </c>
      <c r="BT677" t="str">
        <f>HYPERLINK("https%3A%2F%2Fwww.webofscience.com%2Fwos%2Fwoscc%2Ffull-record%2FWOS:000178685500004","View Full Record in Web of Science")</f>
        <v>View Full Record in Web of Science</v>
      </c>
    </row>
    <row r="678" spans="1:72" x14ac:dyDescent="0.15">
      <c r="A678" t="s">
        <v>552</v>
      </c>
      <c r="B678" t="s">
        <v>9534</v>
      </c>
      <c r="C678" t="s">
        <v>74</v>
      </c>
      <c r="D678" t="s">
        <v>74</v>
      </c>
      <c r="E678" t="s">
        <v>74</v>
      </c>
      <c r="F678" t="s">
        <v>9534</v>
      </c>
      <c r="G678" t="s">
        <v>74</v>
      </c>
      <c r="H678" t="s">
        <v>74</v>
      </c>
      <c r="I678" t="s">
        <v>9535</v>
      </c>
      <c r="J678" t="s">
        <v>4889</v>
      </c>
      <c r="K678" t="s">
        <v>74</v>
      </c>
      <c r="L678" t="s">
        <v>74</v>
      </c>
      <c r="M678" t="s">
        <v>78</v>
      </c>
      <c r="N678" t="s">
        <v>576</v>
      </c>
      <c r="O678" t="s">
        <v>9522</v>
      </c>
      <c r="P678" t="s">
        <v>9523</v>
      </c>
      <c r="Q678" t="s">
        <v>9524</v>
      </c>
      <c r="R678" t="s">
        <v>74</v>
      </c>
      <c r="S678" t="s">
        <v>9525</v>
      </c>
      <c r="T678" t="s">
        <v>74</v>
      </c>
      <c r="U678" t="s">
        <v>9536</v>
      </c>
      <c r="V678" t="s">
        <v>9537</v>
      </c>
      <c r="W678" t="s">
        <v>2879</v>
      </c>
      <c r="X678" t="s">
        <v>417</v>
      </c>
      <c r="Y678" t="s">
        <v>9538</v>
      </c>
      <c r="Z678" t="s">
        <v>74</v>
      </c>
      <c r="AA678" t="s">
        <v>7913</v>
      </c>
      <c r="AB678" t="s">
        <v>7914</v>
      </c>
      <c r="AC678" t="s">
        <v>74</v>
      </c>
      <c r="AD678" t="s">
        <v>74</v>
      </c>
      <c r="AE678" t="s">
        <v>74</v>
      </c>
      <c r="AF678" t="s">
        <v>74</v>
      </c>
      <c r="AG678">
        <v>20</v>
      </c>
      <c r="AH678">
        <v>10</v>
      </c>
      <c r="AI678">
        <v>12</v>
      </c>
      <c r="AJ678">
        <v>0</v>
      </c>
      <c r="AK678">
        <v>4</v>
      </c>
      <c r="AL678" t="s">
        <v>4897</v>
      </c>
      <c r="AM678" t="s">
        <v>4898</v>
      </c>
      <c r="AN678" t="s">
        <v>4899</v>
      </c>
      <c r="AO678" t="s">
        <v>4900</v>
      </c>
      <c r="AP678" t="s">
        <v>74</v>
      </c>
      <c r="AQ678" t="s">
        <v>74</v>
      </c>
      <c r="AR678" t="s">
        <v>4901</v>
      </c>
      <c r="AS678" t="s">
        <v>4902</v>
      </c>
      <c r="AT678" t="s">
        <v>8551</v>
      </c>
      <c r="AU678">
        <v>2002</v>
      </c>
      <c r="AV678">
        <v>54</v>
      </c>
      <c r="AW678">
        <v>5</v>
      </c>
      <c r="AX678" t="s">
        <v>74</v>
      </c>
      <c r="AY678" t="s">
        <v>74</v>
      </c>
      <c r="AZ678" t="s">
        <v>74</v>
      </c>
      <c r="BA678" t="s">
        <v>74</v>
      </c>
      <c r="BB678">
        <v>485</v>
      </c>
      <c r="BC678">
        <v>496</v>
      </c>
      <c r="BD678" t="s">
        <v>74</v>
      </c>
      <c r="BE678" t="s">
        <v>9539</v>
      </c>
      <c r="BF678" t="str">
        <f>HYPERLINK("http://dx.doi.org/10.1034/j.1600-0870.2002.201383.x","http://dx.doi.org/10.1034/j.1600-0870.2002.201383.x")</f>
        <v>http://dx.doi.org/10.1034/j.1600-0870.2002.201383.x</v>
      </c>
      <c r="BG678" t="s">
        <v>74</v>
      </c>
      <c r="BH678" t="s">
        <v>74</v>
      </c>
      <c r="BI678">
        <v>12</v>
      </c>
      <c r="BJ678" t="s">
        <v>2497</v>
      </c>
      <c r="BK678" t="s">
        <v>589</v>
      </c>
      <c r="BL678" t="s">
        <v>2497</v>
      </c>
      <c r="BM678" t="s">
        <v>9532</v>
      </c>
      <c r="BN678" t="s">
        <v>74</v>
      </c>
      <c r="BO678" t="s">
        <v>2660</v>
      </c>
      <c r="BP678" t="s">
        <v>74</v>
      </c>
      <c r="BQ678" t="s">
        <v>74</v>
      </c>
      <c r="BR678" t="s">
        <v>98</v>
      </c>
      <c r="BS678" t="s">
        <v>9540</v>
      </c>
      <c r="BT678" t="str">
        <f>HYPERLINK("https%3A%2F%2Fwww.webofscience.com%2Fwos%2Fwoscc%2Ffull-record%2FWOS:000178685500005","View Full Record in Web of Science")</f>
        <v>View Full Record in Web of Science</v>
      </c>
    </row>
    <row r="679" spans="1:72" x14ac:dyDescent="0.15">
      <c r="A679" t="s">
        <v>552</v>
      </c>
      <c r="B679" t="s">
        <v>9541</v>
      </c>
      <c r="C679" t="s">
        <v>74</v>
      </c>
      <c r="D679" t="s">
        <v>74</v>
      </c>
      <c r="E679" t="s">
        <v>74</v>
      </c>
      <c r="F679" t="s">
        <v>9541</v>
      </c>
      <c r="G679" t="s">
        <v>74</v>
      </c>
      <c r="H679" t="s">
        <v>74</v>
      </c>
      <c r="I679" t="s">
        <v>9542</v>
      </c>
      <c r="J679" t="s">
        <v>4889</v>
      </c>
      <c r="K679" t="s">
        <v>74</v>
      </c>
      <c r="L679" t="s">
        <v>74</v>
      </c>
      <c r="M679" t="s">
        <v>78</v>
      </c>
      <c r="N679" t="s">
        <v>576</v>
      </c>
      <c r="O679" t="s">
        <v>9522</v>
      </c>
      <c r="P679" t="s">
        <v>9523</v>
      </c>
      <c r="Q679" t="s">
        <v>9524</v>
      </c>
      <c r="R679" t="s">
        <v>74</v>
      </c>
      <c r="S679" t="s">
        <v>9525</v>
      </c>
      <c r="T679" t="s">
        <v>74</v>
      </c>
      <c r="U679" t="s">
        <v>9543</v>
      </c>
      <c r="V679" t="s">
        <v>9544</v>
      </c>
      <c r="W679" t="s">
        <v>9545</v>
      </c>
      <c r="X679" t="s">
        <v>8982</v>
      </c>
      <c r="Y679" t="s">
        <v>9546</v>
      </c>
      <c r="Z679" t="s">
        <v>74</v>
      </c>
      <c r="AA679" t="s">
        <v>7913</v>
      </c>
      <c r="AB679" t="s">
        <v>7914</v>
      </c>
      <c r="AC679" t="s">
        <v>74</v>
      </c>
      <c r="AD679" t="s">
        <v>74</v>
      </c>
      <c r="AE679" t="s">
        <v>74</v>
      </c>
      <c r="AF679" t="s">
        <v>74</v>
      </c>
      <c r="AG679">
        <v>48</v>
      </c>
      <c r="AH679">
        <v>15</v>
      </c>
      <c r="AI679">
        <v>16</v>
      </c>
      <c r="AJ679">
        <v>0</v>
      </c>
      <c r="AK679">
        <v>7</v>
      </c>
      <c r="AL679" t="s">
        <v>4897</v>
      </c>
      <c r="AM679" t="s">
        <v>4898</v>
      </c>
      <c r="AN679" t="s">
        <v>4899</v>
      </c>
      <c r="AO679" t="s">
        <v>4900</v>
      </c>
      <c r="AP679" t="s">
        <v>74</v>
      </c>
      <c r="AQ679" t="s">
        <v>74</v>
      </c>
      <c r="AR679" t="s">
        <v>4901</v>
      </c>
      <c r="AS679" t="s">
        <v>4902</v>
      </c>
      <c r="AT679" t="s">
        <v>8551</v>
      </c>
      <c r="AU679">
        <v>2002</v>
      </c>
      <c r="AV679">
        <v>54</v>
      </c>
      <c r="AW679">
        <v>5</v>
      </c>
      <c r="AX679" t="s">
        <v>74</v>
      </c>
      <c r="AY679" t="s">
        <v>74</v>
      </c>
      <c r="AZ679" t="s">
        <v>74</v>
      </c>
      <c r="BA679" t="s">
        <v>74</v>
      </c>
      <c r="BB679">
        <v>497</v>
      </c>
      <c r="BC679">
        <v>511</v>
      </c>
      <c r="BD679" t="s">
        <v>74</v>
      </c>
      <c r="BE679" t="s">
        <v>9547</v>
      </c>
      <c r="BF679" t="str">
        <f>HYPERLINK("http://dx.doi.org/10.1034/j.1600-0870.2002.201404.x","http://dx.doi.org/10.1034/j.1600-0870.2002.201404.x")</f>
        <v>http://dx.doi.org/10.1034/j.1600-0870.2002.201404.x</v>
      </c>
      <c r="BG679" t="s">
        <v>74</v>
      </c>
      <c r="BH679" t="s">
        <v>74</v>
      </c>
      <c r="BI679">
        <v>15</v>
      </c>
      <c r="BJ679" t="s">
        <v>2497</v>
      </c>
      <c r="BK679" t="s">
        <v>589</v>
      </c>
      <c r="BL679" t="s">
        <v>2497</v>
      </c>
      <c r="BM679" t="s">
        <v>9532</v>
      </c>
      <c r="BN679" t="s">
        <v>74</v>
      </c>
      <c r="BO679" t="s">
        <v>2660</v>
      </c>
      <c r="BP679" t="s">
        <v>74</v>
      </c>
      <c r="BQ679" t="s">
        <v>74</v>
      </c>
      <c r="BR679" t="s">
        <v>98</v>
      </c>
      <c r="BS679" t="s">
        <v>9548</v>
      </c>
      <c r="BT679" t="str">
        <f>HYPERLINK("https%3A%2F%2Fwww.webofscience.com%2Fwos%2Fwoscc%2Ffull-record%2FWOS:000178685500006","View Full Record in Web of Science")</f>
        <v>View Full Record in Web of Science</v>
      </c>
    </row>
    <row r="680" spans="1:72" x14ac:dyDescent="0.15">
      <c r="A680" t="s">
        <v>552</v>
      </c>
      <c r="B680" t="s">
        <v>9549</v>
      </c>
      <c r="C680" t="s">
        <v>74</v>
      </c>
      <c r="D680" t="s">
        <v>74</v>
      </c>
      <c r="E680" t="s">
        <v>74</v>
      </c>
      <c r="F680" t="s">
        <v>9549</v>
      </c>
      <c r="G680" t="s">
        <v>74</v>
      </c>
      <c r="H680" t="s">
        <v>74</v>
      </c>
      <c r="I680" t="s">
        <v>9550</v>
      </c>
      <c r="J680" t="s">
        <v>9551</v>
      </c>
      <c r="K680" t="s">
        <v>74</v>
      </c>
      <c r="L680" t="s">
        <v>74</v>
      </c>
      <c r="M680" t="s">
        <v>78</v>
      </c>
      <c r="N680" t="s">
        <v>1114</v>
      </c>
      <c r="O680" t="s">
        <v>74</v>
      </c>
      <c r="P680" t="s">
        <v>74</v>
      </c>
      <c r="Q680" t="s">
        <v>74</v>
      </c>
      <c r="R680" t="s">
        <v>74</v>
      </c>
      <c r="S680" t="s">
        <v>74</v>
      </c>
      <c r="T680" t="s">
        <v>74</v>
      </c>
      <c r="U680" t="s">
        <v>9552</v>
      </c>
      <c r="V680" t="s">
        <v>9553</v>
      </c>
      <c r="W680" t="s">
        <v>74</v>
      </c>
      <c r="X680" t="s">
        <v>74</v>
      </c>
      <c r="Y680" t="s">
        <v>74</v>
      </c>
      <c r="Z680" t="s">
        <v>9554</v>
      </c>
      <c r="AA680" t="s">
        <v>74</v>
      </c>
      <c r="AB680" t="s">
        <v>74</v>
      </c>
      <c r="AC680" t="s">
        <v>74</v>
      </c>
      <c r="AD680" t="s">
        <v>74</v>
      </c>
      <c r="AE680" t="s">
        <v>74</v>
      </c>
      <c r="AF680" t="s">
        <v>74</v>
      </c>
      <c r="AG680">
        <v>48</v>
      </c>
      <c r="AH680">
        <v>23</v>
      </c>
      <c r="AI680">
        <v>24</v>
      </c>
      <c r="AJ680">
        <v>0</v>
      </c>
      <c r="AK680">
        <v>16</v>
      </c>
      <c r="AL680" t="s">
        <v>9555</v>
      </c>
      <c r="AM680" t="s">
        <v>2113</v>
      </c>
      <c r="AN680" t="s">
        <v>9556</v>
      </c>
      <c r="AO680" t="s">
        <v>9557</v>
      </c>
      <c r="AP680" t="s">
        <v>9558</v>
      </c>
      <c r="AQ680" t="s">
        <v>74</v>
      </c>
      <c r="AR680" t="s">
        <v>9559</v>
      </c>
      <c r="AS680" t="s">
        <v>9560</v>
      </c>
      <c r="AT680" t="s">
        <v>8551</v>
      </c>
      <c r="AU680">
        <v>2002</v>
      </c>
      <c r="AV680">
        <v>23</v>
      </c>
      <c r="AW680">
        <v>10</v>
      </c>
      <c r="AX680" t="s">
        <v>74</v>
      </c>
      <c r="AY680" t="s">
        <v>74</v>
      </c>
      <c r="AZ680" t="s">
        <v>74</v>
      </c>
      <c r="BA680" t="s">
        <v>74</v>
      </c>
      <c r="BB680">
        <v>487</v>
      </c>
      <c r="BC680">
        <v>490</v>
      </c>
      <c r="BD680" t="s">
        <v>9561</v>
      </c>
      <c r="BE680" t="s">
        <v>9562</v>
      </c>
      <c r="BF680" t="str">
        <f>HYPERLINK("http://dx.doi.org/10.1016/S0165-6147(02)02087-4","http://dx.doi.org/10.1016/S0165-6147(02)02087-4")</f>
        <v>http://dx.doi.org/10.1016/S0165-6147(02)02087-4</v>
      </c>
      <c r="BG680" t="s">
        <v>74</v>
      </c>
      <c r="BH680" t="s">
        <v>74</v>
      </c>
      <c r="BI680">
        <v>4</v>
      </c>
      <c r="BJ680" t="s">
        <v>9563</v>
      </c>
      <c r="BK680" t="s">
        <v>569</v>
      </c>
      <c r="BL680" t="s">
        <v>9563</v>
      </c>
      <c r="BM680" t="s">
        <v>9564</v>
      </c>
      <c r="BN680">
        <v>12368074</v>
      </c>
      <c r="BO680" t="s">
        <v>74</v>
      </c>
      <c r="BP680" t="s">
        <v>74</v>
      </c>
      <c r="BQ680" t="s">
        <v>74</v>
      </c>
      <c r="BR680" t="s">
        <v>98</v>
      </c>
      <c r="BS680" t="s">
        <v>9565</v>
      </c>
      <c r="BT680" t="str">
        <f>HYPERLINK("https%3A%2F%2Fwww.webofscience.com%2Fwos%2Fwoscc%2Ffull-record%2FWOS:000178356300012","View Full Record in Web of Science")</f>
        <v>View Full Record in Web of Science</v>
      </c>
    </row>
    <row r="681" spans="1:72" x14ac:dyDescent="0.15">
      <c r="A681" t="s">
        <v>552</v>
      </c>
      <c r="B681" t="s">
        <v>9566</v>
      </c>
      <c r="C681" t="s">
        <v>74</v>
      </c>
      <c r="D681" t="s">
        <v>74</v>
      </c>
      <c r="E681" t="s">
        <v>74</v>
      </c>
      <c r="F681" t="s">
        <v>9566</v>
      </c>
      <c r="G681" t="s">
        <v>74</v>
      </c>
      <c r="H681" t="s">
        <v>74</v>
      </c>
      <c r="I681" t="s">
        <v>9567</v>
      </c>
      <c r="J681" t="s">
        <v>6784</v>
      </c>
      <c r="K681" t="s">
        <v>74</v>
      </c>
      <c r="L681" t="s">
        <v>74</v>
      </c>
      <c r="M681" t="s">
        <v>6785</v>
      </c>
      <c r="N681" t="s">
        <v>1114</v>
      </c>
      <c r="O681" t="s">
        <v>74</v>
      </c>
      <c r="P681" t="s">
        <v>74</v>
      </c>
      <c r="Q681" t="s">
        <v>74</v>
      </c>
      <c r="R681" t="s">
        <v>74</v>
      </c>
      <c r="S681" t="s">
        <v>74</v>
      </c>
      <c r="T681" t="s">
        <v>74</v>
      </c>
      <c r="U681" t="s">
        <v>9568</v>
      </c>
      <c r="V681" t="s">
        <v>9569</v>
      </c>
      <c r="W681" t="s">
        <v>9570</v>
      </c>
      <c r="X681" t="s">
        <v>9571</v>
      </c>
      <c r="Y681" t="s">
        <v>9572</v>
      </c>
      <c r="Z681" t="s">
        <v>9573</v>
      </c>
      <c r="AA681" t="s">
        <v>74</v>
      </c>
      <c r="AB681" t="s">
        <v>9574</v>
      </c>
      <c r="AC681" t="s">
        <v>74</v>
      </c>
      <c r="AD681" t="s">
        <v>74</v>
      </c>
      <c r="AE681" t="s">
        <v>74</v>
      </c>
      <c r="AF681" t="s">
        <v>74</v>
      </c>
      <c r="AG681">
        <v>151</v>
      </c>
      <c r="AH681">
        <v>8</v>
      </c>
      <c r="AI681">
        <v>8</v>
      </c>
      <c r="AJ681">
        <v>0</v>
      </c>
      <c r="AK681">
        <v>4</v>
      </c>
      <c r="AL681" t="s">
        <v>9575</v>
      </c>
      <c r="AM681" t="s">
        <v>6790</v>
      </c>
      <c r="AN681" t="s">
        <v>9576</v>
      </c>
      <c r="AO681" t="s">
        <v>6792</v>
      </c>
      <c r="AP681" t="s">
        <v>74</v>
      </c>
      <c r="AQ681" t="s">
        <v>74</v>
      </c>
      <c r="AR681" t="s">
        <v>6793</v>
      </c>
      <c r="AS681" t="s">
        <v>6794</v>
      </c>
      <c r="AT681" t="s">
        <v>8551</v>
      </c>
      <c r="AU681">
        <v>2002</v>
      </c>
      <c r="AV681">
        <v>81</v>
      </c>
      <c r="AW681">
        <v>10</v>
      </c>
      <c r="AX681" t="s">
        <v>74</v>
      </c>
      <c r="AY681" t="s">
        <v>74</v>
      </c>
      <c r="AZ681" t="s">
        <v>74</v>
      </c>
      <c r="BA681" t="s">
        <v>74</v>
      </c>
      <c r="BB681">
        <v>1222</v>
      </c>
      <c r="BC681">
        <v>1238</v>
      </c>
      <c r="BD681" t="s">
        <v>74</v>
      </c>
      <c r="BE681" t="s">
        <v>74</v>
      </c>
      <c r="BF681" t="s">
        <v>74</v>
      </c>
      <c r="BG681" t="s">
        <v>74</v>
      </c>
      <c r="BH681" t="s">
        <v>74</v>
      </c>
      <c r="BI681">
        <v>17</v>
      </c>
      <c r="BJ681" t="s">
        <v>927</v>
      </c>
      <c r="BK681" t="s">
        <v>569</v>
      </c>
      <c r="BL681" t="s">
        <v>927</v>
      </c>
      <c r="BM681" t="s">
        <v>9577</v>
      </c>
      <c r="BN681" t="s">
        <v>74</v>
      </c>
      <c r="BO681" t="s">
        <v>74</v>
      </c>
      <c r="BP681" t="s">
        <v>74</v>
      </c>
      <c r="BQ681" t="s">
        <v>74</v>
      </c>
      <c r="BR681" t="s">
        <v>98</v>
      </c>
      <c r="BS681" t="s">
        <v>9578</v>
      </c>
      <c r="BT681" t="str">
        <f>HYPERLINK("https%3A%2F%2Fwww.webofscience.com%2Fwos%2Fwoscc%2Ffull-record%2FWOS:000179141400005","View Full Record in Web of Science")</f>
        <v>View Full Record in Web of Science</v>
      </c>
    </row>
    <row r="682" spans="1:72" x14ac:dyDescent="0.15">
      <c r="A682" t="s">
        <v>552</v>
      </c>
      <c r="B682" t="s">
        <v>5150</v>
      </c>
      <c r="C682" t="s">
        <v>74</v>
      </c>
      <c r="D682" t="s">
        <v>74</v>
      </c>
      <c r="E682" t="s">
        <v>74</v>
      </c>
      <c r="F682" t="s">
        <v>5150</v>
      </c>
      <c r="G682" t="s">
        <v>74</v>
      </c>
      <c r="H682" t="s">
        <v>74</v>
      </c>
      <c r="I682" t="s">
        <v>9579</v>
      </c>
      <c r="J682" t="s">
        <v>5130</v>
      </c>
      <c r="K682" t="s">
        <v>74</v>
      </c>
      <c r="L682" t="s">
        <v>74</v>
      </c>
      <c r="M682" t="s">
        <v>78</v>
      </c>
      <c r="N682" t="s">
        <v>775</v>
      </c>
      <c r="O682" t="s">
        <v>74</v>
      </c>
      <c r="P682" t="s">
        <v>74</v>
      </c>
      <c r="Q682" t="s">
        <v>74</v>
      </c>
      <c r="R682" t="s">
        <v>74</v>
      </c>
      <c r="S682" t="s">
        <v>74</v>
      </c>
      <c r="T682" t="s">
        <v>9580</v>
      </c>
      <c r="U682" t="s">
        <v>9581</v>
      </c>
      <c r="V682" t="s">
        <v>9582</v>
      </c>
      <c r="W682" t="s">
        <v>9583</v>
      </c>
      <c r="X682" t="s">
        <v>9584</v>
      </c>
      <c r="Y682" t="s">
        <v>9585</v>
      </c>
      <c r="Z682" t="s">
        <v>9586</v>
      </c>
      <c r="AA682" t="s">
        <v>9587</v>
      </c>
      <c r="AB682" t="s">
        <v>9588</v>
      </c>
      <c r="AC682" t="s">
        <v>74</v>
      </c>
      <c r="AD682" t="s">
        <v>74</v>
      </c>
      <c r="AE682" t="s">
        <v>74</v>
      </c>
      <c r="AF682" t="s">
        <v>74</v>
      </c>
      <c r="AG682">
        <v>94</v>
      </c>
      <c r="AH682">
        <v>90</v>
      </c>
      <c r="AI682">
        <v>96</v>
      </c>
      <c r="AJ682">
        <v>2</v>
      </c>
      <c r="AK682">
        <v>15</v>
      </c>
      <c r="AL682" t="s">
        <v>3155</v>
      </c>
      <c r="AM682" t="s">
        <v>1861</v>
      </c>
      <c r="AN682" t="s">
        <v>3156</v>
      </c>
      <c r="AO682" t="s">
        <v>5139</v>
      </c>
      <c r="AP682" t="s">
        <v>5140</v>
      </c>
      <c r="AQ682" t="s">
        <v>74</v>
      </c>
      <c r="AR682" t="s">
        <v>5141</v>
      </c>
      <c r="AS682" t="s">
        <v>5142</v>
      </c>
      <c r="AT682" t="s">
        <v>9589</v>
      </c>
      <c r="AU682">
        <v>2002</v>
      </c>
      <c r="AV682">
        <v>189</v>
      </c>
      <c r="AW682" t="s">
        <v>1424</v>
      </c>
      <c r="AX682" t="s">
        <v>74</v>
      </c>
      <c r="AY682" t="s">
        <v>74</v>
      </c>
      <c r="AZ682" t="s">
        <v>74</v>
      </c>
      <c r="BA682" t="s">
        <v>74</v>
      </c>
      <c r="BB682">
        <v>343</v>
      </c>
      <c r="BC682">
        <v>370</v>
      </c>
      <c r="BD682" t="s">
        <v>9590</v>
      </c>
      <c r="BE682" t="s">
        <v>9591</v>
      </c>
      <c r="BF682" t="str">
        <f>HYPERLINK("http://dx.doi.org/10.1016/S0025-3227(02)00470-X","http://dx.doi.org/10.1016/S0025-3227(02)00470-X")</f>
        <v>http://dx.doi.org/10.1016/S0025-3227(02)00470-X</v>
      </c>
      <c r="BG682" t="s">
        <v>74</v>
      </c>
      <c r="BH682" t="s">
        <v>74</v>
      </c>
      <c r="BI682">
        <v>28</v>
      </c>
      <c r="BJ682" t="s">
        <v>5146</v>
      </c>
      <c r="BK682" t="s">
        <v>569</v>
      </c>
      <c r="BL682" t="s">
        <v>5147</v>
      </c>
      <c r="BM682" t="s">
        <v>9592</v>
      </c>
      <c r="BN682" t="s">
        <v>74</v>
      </c>
      <c r="BO682" t="s">
        <v>74</v>
      </c>
      <c r="BP682" t="s">
        <v>74</v>
      </c>
      <c r="BQ682" t="s">
        <v>74</v>
      </c>
      <c r="BR682" t="s">
        <v>98</v>
      </c>
      <c r="BS682" t="s">
        <v>9593</v>
      </c>
      <c r="BT682" t="str">
        <f>HYPERLINK("https%3A%2F%2Fwww.webofscience.com%2Fwos%2Fwoscc%2Ffull-record%2FWOS:000179422700010","View Full Record in Web of Science")</f>
        <v>View Full Record in Web of Science</v>
      </c>
    </row>
    <row r="683" spans="1:72" x14ac:dyDescent="0.15">
      <c r="A683" t="s">
        <v>552</v>
      </c>
      <c r="B683" t="s">
        <v>9594</v>
      </c>
      <c r="C683" t="s">
        <v>74</v>
      </c>
      <c r="D683" t="s">
        <v>74</v>
      </c>
      <c r="E683" t="s">
        <v>74</v>
      </c>
      <c r="F683" t="s">
        <v>9594</v>
      </c>
      <c r="G683" t="s">
        <v>74</v>
      </c>
      <c r="H683" t="s">
        <v>74</v>
      </c>
      <c r="I683" t="s">
        <v>9595</v>
      </c>
      <c r="J683" t="s">
        <v>6855</v>
      </c>
      <c r="K683" t="s">
        <v>74</v>
      </c>
      <c r="L683" t="s">
        <v>74</v>
      </c>
      <c r="M683" t="s">
        <v>78</v>
      </c>
      <c r="N683" t="s">
        <v>775</v>
      </c>
      <c r="O683" t="s">
        <v>74</v>
      </c>
      <c r="P683" t="s">
        <v>74</v>
      </c>
      <c r="Q683" t="s">
        <v>74</v>
      </c>
      <c r="R683" t="s">
        <v>74</v>
      </c>
      <c r="S683" t="s">
        <v>74</v>
      </c>
      <c r="T683" t="s">
        <v>74</v>
      </c>
      <c r="U683" t="s">
        <v>9596</v>
      </c>
      <c r="V683" t="s">
        <v>9597</v>
      </c>
      <c r="W683" t="s">
        <v>180</v>
      </c>
      <c r="X683" t="s">
        <v>181</v>
      </c>
      <c r="Y683" t="s">
        <v>2975</v>
      </c>
      <c r="Z683" t="s">
        <v>74</v>
      </c>
      <c r="AA683" t="s">
        <v>74</v>
      </c>
      <c r="AB683" t="s">
        <v>9598</v>
      </c>
      <c r="AC683" t="s">
        <v>74</v>
      </c>
      <c r="AD683" t="s">
        <v>74</v>
      </c>
      <c r="AE683" t="s">
        <v>74</v>
      </c>
      <c r="AF683" t="s">
        <v>74</v>
      </c>
      <c r="AG683">
        <v>48</v>
      </c>
      <c r="AH683">
        <v>39</v>
      </c>
      <c r="AI683">
        <v>47</v>
      </c>
      <c r="AJ683">
        <v>0</v>
      </c>
      <c r="AK683">
        <v>1</v>
      </c>
      <c r="AL683" t="s">
        <v>6862</v>
      </c>
      <c r="AM683" t="s">
        <v>3899</v>
      </c>
      <c r="AN683" t="s">
        <v>6863</v>
      </c>
      <c r="AO683" t="s">
        <v>6864</v>
      </c>
      <c r="AP683" t="s">
        <v>74</v>
      </c>
      <c r="AQ683" t="s">
        <v>74</v>
      </c>
      <c r="AR683" t="s">
        <v>6866</v>
      </c>
      <c r="AS683" t="s">
        <v>6867</v>
      </c>
      <c r="AT683" t="s">
        <v>9599</v>
      </c>
      <c r="AU683">
        <v>2002</v>
      </c>
      <c r="AV683">
        <v>277</v>
      </c>
      <c r="AW683">
        <v>39</v>
      </c>
      <c r="AX683" t="s">
        <v>74</v>
      </c>
      <c r="AY683" t="s">
        <v>74</v>
      </c>
      <c r="AZ683" t="s">
        <v>74</v>
      </c>
      <c r="BA683" t="s">
        <v>74</v>
      </c>
      <c r="BB683">
        <v>36312</v>
      </c>
      <c r="BC683">
        <v>36320</v>
      </c>
      <c r="BD683" t="s">
        <v>74</v>
      </c>
      <c r="BE683" t="s">
        <v>9600</v>
      </c>
      <c r="BF683" t="str">
        <f>HYPERLINK("http://dx.doi.org/10.1074/jbc.M202474200","http://dx.doi.org/10.1074/jbc.M202474200")</f>
        <v>http://dx.doi.org/10.1074/jbc.M202474200</v>
      </c>
      <c r="BG683" t="s">
        <v>74</v>
      </c>
      <c r="BH683" t="s">
        <v>74</v>
      </c>
      <c r="BI683">
        <v>9</v>
      </c>
      <c r="BJ683" t="s">
        <v>2171</v>
      </c>
      <c r="BK683" t="s">
        <v>569</v>
      </c>
      <c r="BL683" t="s">
        <v>2171</v>
      </c>
      <c r="BM683" t="s">
        <v>9601</v>
      </c>
      <c r="BN683">
        <v>12118003</v>
      </c>
      <c r="BO683" t="s">
        <v>6871</v>
      </c>
      <c r="BP683" t="s">
        <v>74</v>
      </c>
      <c r="BQ683" t="s">
        <v>74</v>
      </c>
      <c r="BR683" t="s">
        <v>98</v>
      </c>
      <c r="BS683" t="s">
        <v>9602</v>
      </c>
      <c r="BT683" t="str">
        <f>HYPERLINK("https%3A%2F%2Fwww.webofscience.com%2Fwos%2Fwoscc%2Ffull-record%2FWOS:000178275100068","View Full Record in Web of Science")</f>
        <v>View Full Record in Web of Science</v>
      </c>
    </row>
    <row r="684" spans="1:72" x14ac:dyDescent="0.15">
      <c r="A684" t="s">
        <v>552</v>
      </c>
      <c r="B684" t="s">
        <v>9603</v>
      </c>
      <c r="C684" t="s">
        <v>74</v>
      </c>
      <c r="D684" t="s">
        <v>74</v>
      </c>
      <c r="E684" t="s">
        <v>74</v>
      </c>
      <c r="F684" t="s">
        <v>9603</v>
      </c>
      <c r="G684" t="s">
        <v>74</v>
      </c>
      <c r="H684" t="s">
        <v>74</v>
      </c>
      <c r="I684" t="s">
        <v>9604</v>
      </c>
      <c r="J684" t="s">
        <v>8515</v>
      </c>
      <c r="K684" t="s">
        <v>74</v>
      </c>
      <c r="L684" t="s">
        <v>74</v>
      </c>
      <c r="M684" t="s">
        <v>78</v>
      </c>
      <c r="N684" t="s">
        <v>775</v>
      </c>
      <c r="O684" t="s">
        <v>74</v>
      </c>
      <c r="P684" t="s">
        <v>74</v>
      </c>
      <c r="Q684" t="s">
        <v>74</v>
      </c>
      <c r="R684" t="s">
        <v>74</v>
      </c>
      <c r="S684" t="s">
        <v>74</v>
      </c>
      <c r="T684" t="s">
        <v>74</v>
      </c>
      <c r="U684" t="s">
        <v>9605</v>
      </c>
      <c r="V684" t="s">
        <v>9606</v>
      </c>
      <c r="W684" t="s">
        <v>9607</v>
      </c>
      <c r="X684" t="s">
        <v>9608</v>
      </c>
      <c r="Y684" t="s">
        <v>9609</v>
      </c>
      <c r="Z684" t="s">
        <v>9610</v>
      </c>
      <c r="AA684" t="s">
        <v>9611</v>
      </c>
      <c r="AB684" t="s">
        <v>9612</v>
      </c>
      <c r="AC684" t="s">
        <v>74</v>
      </c>
      <c r="AD684" t="s">
        <v>74</v>
      </c>
      <c r="AE684" t="s">
        <v>74</v>
      </c>
      <c r="AF684" t="s">
        <v>74</v>
      </c>
      <c r="AG684">
        <v>22</v>
      </c>
      <c r="AH684">
        <v>187</v>
      </c>
      <c r="AI684">
        <v>227</v>
      </c>
      <c r="AJ684">
        <v>7</v>
      </c>
      <c r="AK684">
        <v>75</v>
      </c>
      <c r="AL684" t="s">
        <v>3815</v>
      </c>
      <c r="AM684" t="s">
        <v>2113</v>
      </c>
      <c r="AN684" t="s">
        <v>3816</v>
      </c>
      <c r="AO684" t="s">
        <v>8523</v>
      </c>
      <c r="AP684" t="s">
        <v>9613</v>
      </c>
      <c r="AQ684" t="s">
        <v>74</v>
      </c>
      <c r="AR684" t="s">
        <v>8515</v>
      </c>
      <c r="AS684" t="s">
        <v>8524</v>
      </c>
      <c r="AT684" t="s">
        <v>9614</v>
      </c>
      <c r="AU684">
        <v>2002</v>
      </c>
      <c r="AV684">
        <v>419</v>
      </c>
      <c r="AW684">
        <v>6905</v>
      </c>
      <c r="AX684" t="s">
        <v>74</v>
      </c>
      <c r="AY684" t="s">
        <v>74</v>
      </c>
      <c r="AZ684" t="s">
        <v>74</v>
      </c>
      <c r="BA684" t="s">
        <v>74</v>
      </c>
      <c r="BB684">
        <v>387</v>
      </c>
      <c r="BC684">
        <v>389</v>
      </c>
      <c r="BD684" t="s">
        <v>74</v>
      </c>
      <c r="BE684" t="s">
        <v>9615</v>
      </c>
      <c r="BF684" t="str">
        <f>HYPERLINK("http://dx.doi.org/10.1038/nature01055","http://dx.doi.org/10.1038/nature01055")</f>
        <v>http://dx.doi.org/10.1038/nature01055</v>
      </c>
      <c r="BG684" t="s">
        <v>74</v>
      </c>
      <c r="BH684" t="s">
        <v>74</v>
      </c>
      <c r="BI684">
        <v>4</v>
      </c>
      <c r="BJ684" t="s">
        <v>5596</v>
      </c>
      <c r="BK684" t="s">
        <v>569</v>
      </c>
      <c r="BL684" t="s">
        <v>5597</v>
      </c>
      <c r="BM684" t="s">
        <v>9616</v>
      </c>
      <c r="BN684">
        <v>12353032</v>
      </c>
      <c r="BO684" t="s">
        <v>74</v>
      </c>
      <c r="BP684" t="s">
        <v>74</v>
      </c>
      <c r="BQ684" t="s">
        <v>74</v>
      </c>
      <c r="BR684" t="s">
        <v>98</v>
      </c>
      <c r="BS684" t="s">
        <v>9617</v>
      </c>
      <c r="BT684" t="str">
        <f>HYPERLINK("https%3A%2F%2Fwww.webofscience.com%2Fwos%2Fwoscc%2Ffull-record%2FWOS:000178195400043","View Full Record in Web of Science")</f>
        <v>View Full Record in Web of Science</v>
      </c>
    </row>
    <row r="685" spans="1:72" x14ac:dyDescent="0.15">
      <c r="A685" t="s">
        <v>552</v>
      </c>
      <c r="B685" t="s">
        <v>9618</v>
      </c>
      <c r="C685" t="s">
        <v>74</v>
      </c>
      <c r="D685" t="s">
        <v>74</v>
      </c>
      <c r="E685" t="s">
        <v>74</v>
      </c>
      <c r="F685" t="s">
        <v>9618</v>
      </c>
      <c r="G685" t="s">
        <v>74</v>
      </c>
      <c r="H685" t="s">
        <v>74</v>
      </c>
      <c r="I685" t="s">
        <v>9619</v>
      </c>
      <c r="J685" t="s">
        <v>6855</v>
      </c>
      <c r="K685" t="s">
        <v>74</v>
      </c>
      <c r="L685" t="s">
        <v>74</v>
      </c>
      <c r="M685" t="s">
        <v>78</v>
      </c>
      <c r="N685" t="s">
        <v>775</v>
      </c>
      <c r="O685" t="s">
        <v>74</v>
      </c>
      <c r="P685" t="s">
        <v>74</v>
      </c>
      <c r="Q685" t="s">
        <v>74</v>
      </c>
      <c r="R685" t="s">
        <v>74</v>
      </c>
      <c r="S685" t="s">
        <v>74</v>
      </c>
      <c r="T685" t="s">
        <v>74</v>
      </c>
      <c r="U685" t="s">
        <v>9620</v>
      </c>
      <c r="V685" t="s">
        <v>9621</v>
      </c>
      <c r="W685" t="s">
        <v>9622</v>
      </c>
      <c r="X685" t="s">
        <v>9623</v>
      </c>
      <c r="Y685" t="s">
        <v>9624</v>
      </c>
      <c r="Z685" t="s">
        <v>9625</v>
      </c>
      <c r="AA685" t="s">
        <v>9626</v>
      </c>
      <c r="AB685" t="s">
        <v>9627</v>
      </c>
      <c r="AC685" t="s">
        <v>74</v>
      </c>
      <c r="AD685" t="s">
        <v>74</v>
      </c>
      <c r="AE685" t="s">
        <v>74</v>
      </c>
      <c r="AF685" t="s">
        <v>74</v>
      </c>
      <c r="AG685">
        <v>51</v>
      </c>
      <c r="AH685">
        <v>153</v>
      </c>
      <c r="AI685">
        <v>165</v>
      </c>
      <c r="AJ685">
        <v>1</v>
      </c>
      <c r="AK685">
        <v>27</v>
      </c>
      <c r="AL685" t="s">
        <v>6862</v>
      </c>
      <c r="AM685" t="s">
        <v>3899</v>
      </c>
      <c r="AN685" t="s">
        <v>6863</v>
      </c>
      <c r="AO685" t="s">
        <v>6864</v>
      </c>
      <c r="AP685" t="s">
        <v>6865</v>
      </c>
      <c r="AQ685" t="s">
        <v>74</v>
      </c>
      <c r="AR685" t="s">
        <v>6866</v>
      </c>
      <c r="AS685" t="s">
        <v>6867</v>
      </c>
      <c r="AT685" t="s">
        <v>9628</v>
      </c>
      <c r="AU685">
        <v>2002</v>
      </c>
      <c r="AV685">
        <v>277</v>
      </c>
      <c r="AW685">
        <v>38</v>
      </c>
      <c r="AX685" t="s">
        <v>74</v>
      </c>
      <c r="AY685" t="s">
        <v>74</v>
      </c>
      <c r="AZ685" t="s">
        <v>74</v>
      </c>
      <c r="BA685" t="s">
        <v>74</v>
      </c>
      <c r="BB685">
        <v>35133</v>
      </c>
      <c r="BC685">
        <v>35139</v>
      </c>
      <c r="BD685" t="s">
        <v>74</v>
      </c>
      <c r="BE685" t="s">
        <v>9629</v>
      </c>
      <c r="BF685" t="str">
        <f>HYPERLINK("http://dx.doi.org/10.1074/jbc.M204517200","http://dx.doi.org/10.1074/jbc.M204517200")</f>
        <v>http://dx.doi.org/10.1074/jbc.M204517200</v>
      </c>
      <c r="BG685" t="s">
        <v>74</v>
      </c>
      <c r="BH685" t="s">
        <v>74</v>
      </c>
      <c r="BI685">
        <v>7</v>
      </c>
      <c r="BJ685" t="s">
        <v>2171</v>
      </c>
      <c r="BK685" t="s">
        <v>569</v>
      </c>
      <c r="BL685" t="s">
        <v>2171</v>
      </c>
      <c r="BM685" t="s">
        <v>9630</v>
      </c>
      <c r="BN685">
        <v>12089151</v>
      </c>
      <c r="BO685" t="s">
        <v>6871</v>
      </c>
      <c r="BP685" t="s">
        <v>74</v>
      </c>
      <c r="BQ685" t="s">
        <v>74</v>
      </c>
      <c r="BR685" t="s">
        <v>98</v>
      </c>
      <c r="BS685" t="s">
        <v>9631</v>
      </c>
      <c r="BT685" t="str">
        <f>HYPERLINK("https%3A%2F%2Fwww.webofscience.com%2Fwos%2Fwoscc%2Ffull-record%2FWOS:000178117000061","View Full Record in Web of Science")</f>
        <v>View Full Record in Web of Science</v>
      </c>
    </row>
    <row r="686" spans="1:72" x14ac:dyDescent="0.15">
      <c r="A686" t="s">
        <v>552</v>
      </c>
      <c r="B686" t="s">
        <v>9632</v>
      </c>
      <c r="C686" t="s">
        <v>74</v>
      </c>
      <c r="D686" t="s">
        <v>74</v>
      </c>
      <c r="E686" t="s">
        <v>74</v>
      </c>
      <c r="F686" t="s">
        <v>9632</v>
      </c>
      <c r="G686" t="s">
        <v>74</v>
      </c>
      <c r="H686" t="s">
        <v>74</v>
      </c>
      <c r="I686" t="s">
        <v>9633</v>
      </c>
      <c r="J686" t="s">
        <v>9634</v>
      </c>
      <c r="K686" t="s">
        <v>74</v>
      </c>
      <c r="L686" t="s">
        <v>74</v>
      </c>
      <c r="M686" t="s">
        <v>78</v>
      </c>
      <c r="N686" t="s">
        <v>775</v>
      </c>
      <c r="O686" t="s">
        <v>74</v>
      </c>
      <c r="P686" t="s">
        <v>74</v>
      </c>
      <c r="Q686" t="s">
        <v>74</v>
      </c>
      <c r="R686" t="s">
        <v>74</v>
      </c>
      <c r="S686" t="s">
        <v>74</v>
      </c>
      <c r="T686" t="s">
        <v>9635</v>
      </c>
      <c r="U686" t="s">
        <v>9636</v>
      </c>
      <c r="V686" t="s">
        <v>9637</v>
      </c>
      <c r="W686" t="s">
        <v>9638</v>
      </c>
      <c r="X686" t="s">
        <v>9639</v>
      </c>
      <c r="Y686" t="s">
        <v>9640</v>
      </c>
      <c r="Z686" t="s">
        <v>74</v>
      </c>
      <c r="AA686" t="s">
        <v>9641</v>
      </c>
      <c r="AB686" t="s">
        <v>9642</v>
      </c>
      <c r="AC686" t="s">
        <v>74</v>
      </c>
      <c r="AD686" t="s">
        <v>74</v>
      </c>
      <c r="AE686" t="s">
        <v>74</v>
      </c>
      <c r="AF686" t="s">
        <v>74</v>
      </c>
      <c r="AG686">
        <v>24</v>
      </c>
      <c r="AH686">
        <v>15</v>
      </c>
      <c r="AI686">
        <v>15</v>
      </c>
      <c r="AJ686">
        <v>0</v>
      </c>
      <c r="AK686">
        <v>5</v>
      </c>
      <c r="AL686" t="s">
        <v>1860</v>
      </c>
      <c r="AM686" t="s">
        <v>1861</v>
      </c>
      <c r="AN686" t="s">
        <v>1862</v>
      </c>
      <c r="AO686" t="s">
        <v>9643</v>
      </c>
      <c r="AP686" t="s">
        <v>74</v>
      </c>
      <c r="AQ686" t="s">
        <v>74</v>
      </c>
      <c r="AR686" t="s">
        <v>9644</v>
      </c>
      <c r="AS686" t="s">
        <v>9645</v>
      </c>
      <c r="AT686" t="s">
        <v>9646</v>
      </c>
      <c r="AU686">
        <v>2002</v>
      </c>
      <c r="AV686">
        <v>155</v>
      </c>
      <c r="AW686">
        <v>1</v>
      </c>
      <c r="AX686" t="s">
        <v>74</v>
      </c>
      <c r="AY686" t="s">
        <v>74</v>
      </c>
      <c r="AZ686" t="s">
        <v>74</v>
      </c>
      <c r="BA686" t="s">
        <v>74</v>
      </c>
      <c r="BB686">
        <v>43</v>
      </c>
      <c r="BC686">
        <v>51</v>
      </c>
      <c r="BD686" t="s">
        <v>9647</v>
      </c>
      <c r="BE686" t="s">
        <v>9648</v>
      </c>
      <c r="BF686" t="str">
        <f>HYPERLINK("http://dx.doi.org/10.1016/S0304-3800(02)00081-9","http://dx.doi.org/10.1016/S0304-3800(02)00081-9")</f>
        <v>http://dx.doi.org/10.1016/S0304-3800(02)00081-9</v>
      </c>
      <c r="BG686" t="s">
        <v>74</v>
      </c>
      <c r="BH686" t="s">
        <v>74</v>
      </c>
      <c r="BI686">
        <v>9</v>
      </c>
      <c r="BJ686" t="s">
        <v>5794</v>
      </c>
      <c r="BK686" t="s">
        <v>569</v>
      </c>
      <c r="BL686" t="s">
        <v>1195</v>
      </c>
      <c r="BM686" t="s">
        <v>9649</v>
      </c>
      <c r="BN686" t="s">
        <v>74</v>
      </c>
      <c r="BO686" t="s">
        <v>74</v>
      </c>
      <c r="BP686" t="s">
        <v>74</v>
      </c>
      <c r="BQ686" t="s">
        <v>74</v>
      </c>
      <c r="BR686" t="s">
        <v>98</v>
      </c>
      <c r="BS686" t="s">
        <v>9650</v>
      </c>
      <c r="BT686" t="str">
        <f>HYPERLINK("https%3A%2F%2Fwww.webofscience.com%2Fwos%2Fwoscc%2Ffull-record%2FWOS:000177495400004","View Full Record in Web of Science")</f>
        <v>View Full Record in Web of Science</v>
      </c>
    </row>
    <row r="687" spans="1:72" x14ac:dyDescent="0.15">
      <c r="A687" t="s">
        <v>552</v>
      </c>
      <c r="B687" t="s">
        <v>9651</v>
      </c>
      <c r="C687" t="s">
        <v>74</v>
      </c>
      <c r="D687" t="s">
        <v>74</v>
      </c>
      <c r="E687" t="s">
        <v>74</v>
      </c>
      <c r="F687" t="s">
        <v>9651</v>
      </c>
      <c r="G687" t="s">
        <v>74</v>
      </c>
      <c r="H687" t="s">
        <v>74</v>
      </c>
      <c r="I687" t="s">
        <v>9652</v>
      </c>
      <c r="J687" t="s">
        <v>5162</v>
      </c>
      <c r="K687" t="s">
        <v>74</v>
      </c>
      <c r="L687" t="s">
        <v>74</v>
      </c>
      <c r="M687" t="s">
        <v>78</v>
      </c>
      <c r="N687" t="s">
        <v>775</v>
      </c>
      <c r="O687" t="s">
        <v>74</v>
      </c>
      <c r="P687" t="s">
        <v>74</v>
      </c>
      <c r="Q687" t="s">
        <v>74</v>
      </c>
      <c r="R687" t="s">
        <v>74</v>
      </c>
      <c r="S687" t="s">
        <v>74</v>
      </c>
      <c r="T687" t="s">
        <v>74</v>
      </c>
      <c r="U687" t="s">
        <v>9653</v>
      </c>
      <c r="V687" t="s">
        <v>9654</v>
      </c>
      <c r="W687" t="s">
        <v>9655</v>
      </c>
      <c r="X687" t="s">
        <v>9656</v>
      </c>
      <c r="Y687" t="s">
        <v>9657</v>
      </c>
      <c r="Z687" t="s">
        <v>74</v>
      </c>
      <c r="AA687" t="s">
        <v>9658</v>
      </c>
      <c r="AB687" t="s">
        <v>9659</v>
      </c>
      <c r="AC687" t="s">
        <v>74</v>
      </c>
      <c r="AD687" t="s">
        <v>74</v>
      </c>
      <c r="AE687" t="s">
        <v>74</v>
      </c>
      <c r="AF687" t="s">
        <v>74</v>
      </c>
      <c r="AG687">
        <v>12</v>
      </c>
      <c r="AH687">
        <v>32</v>
      </c>
      <c r="AI687">
        <v>34</v>
      </c>
      <c r="AJ687">
        <v>0</v>
      </c>
      <c r="AK687">
        <v>3</v>
      </c>
      <c r="AL687" t="s">
        <v>387</v>
      </c>
      <c r="AM687" t="s">
        <v>388</v>
      </c>
      <c r="AN687" t="s">
        <v>389</v>
      </c>
      <c r="AO687" t="s">
        <v>5169</v>
      </c>
      <c r="AP687" t="s">
        <v>74</v>
      </c>
      <c r="AQ687" t="s">
        <v>74</v>
      </c>
      <c r="AR687" t="s">
        <v>5171</v>
      </c>
      <c r="AS687" t="s">
        <v>5172</v>
      </c>
      <c r="AT687" t="s">
        <v>9646</v>
      </c>
      <c r="AU687">
        <v>2002</v>
      </c>
      <c r="AV687">
        <v>29</v>
      </c>
      <c r="AW687">
        <v>18</v>
      </c>
      <c r="AX687" t="s">
        <v>74</v>
      </c>
      <c r="AY687" t="s">
        <v>74</v>
      </c>
      <c r="AZ687" t="s">
        <v>74</v>
      </c>
      <c r="BA687" t="s">
        <v>74</v>
      </c>
      <c r="BB687" t="s">
        <v>74</v>
      </c>
      <c r="BC687" t="s">
        <v>74</v>
      </c>
      <c r="BD687">
        <v>1879</v>
      </c>
      <c r="BE687" t="s">
        <v>9660</v>
      </c>
      <c r="BF687" t="str">
        <f>HYPERLINK("http://dx.doi.org/10.1029/2002GL015179","http://dx.doi.org/10.1029/2002GL015179")</f>
        <v>http://dx.doi.org/10.1029/2002GL015179</v>
      </c>
      <c r="BG687" t="s">
        <v>74</v>
      </c>
      <c r="BH687" t="s">
        <v>74</v>
      </c>
      <c r="BI687">
        <v>4</v>
      </c>
      <c r="BJ687" t="s">
        <v>1813</v>
      </c>
      <c r="BK687" t="s">
        <v>569</v>
      </c>
      <c r="BL687" t="s">
        <v>1814</v>
      </c>
      <c r="BM687" t="s">
        <v>9661</v>
      </c>
      <c r="BN687" t="s">
        <v>74</v>
      </c>
      <c r="BO687" t="s">
        <v>572</v>
      </c>
      <c r="BP687" t="s">
        <v>74</v>
      </c>
      <c r="BQ687" t="s">
        <v>74</v>
      </c>
      <c r="BR687" t="s">
        <v>98</v>
      </c>
      <c r="BS687" t="s">
        <v>9662</v>
      </c>
      <c r="BT687" t="str">
        <f>HYPERLINK("https%3A%2F%2Fwww.webofscience.com%2Fwos%2Fwoscc%2Ffull-record%2FWOS:000180398000026","View Full Record in Web of Science")</f>
        <v>View Full Record in Web of Science</v>
      </c>
    </row>
    <row r="688" spans="1:72" x14ac:dyDescent="0.15">
      <c r="A688" t="s">
        <v>552</v>
      </c>
      <c r="B688" t="s">
        <v>9663</v>
      </c>
      <c r="C688" t="s">
        <v>74</v>
      </c>
      <c r="D688" t="s">
        <v>74</v>
      </c>
      <c r="E688" t="s">
        <v>74</v>
      </c>
      <c r="F688" t="s">
        <v>9663</v>
      </c>
      <c r="G688" t="s">
        <v>74</v>
      </c>
      <c r="H688" t="s">
        <v>74</v>
      </c>
      <c r="I688" t="s">
        <v>9664</v>
      </c>
      <c r="J688" t="s">
        <v>5162</v>
      </c>
      <c r="K688" t="s">
        <v>74</v>
      </c>
      <c r="L688" t="s">
        <v>74</v>
      </c>
      <c r="M688" t="s">
        <v>78</v>
      </c>
      <c r="N688" t="s">
        <v>775</v>
      </c>
      <c r="O688" t="s">
        <v>74</v>
      </c>
      <c r="P688" t="s">
        <v>74</v>
      </c>
      <c r="Q688" t="s">
        <v>74</v>
      </c>
      <c r="R688" t="s">
        <v>74</v>
      </c>
      <c r="S688" t="s">
        <v>74</v>
      </c>
      <c r="T688" t="s">
        <v>74</v>
      </c>
      <c r="U688" t="s">
        <v>9665</v>
      </c>
      <c r="V688" t="s">
        <v>9666</v>
      </c>
      <c r="W688" t="s">
        <v>9667</v>
      </c>
      <c r="X688" t="s">
        <v>9668</v>
      </c>
      <c r="Y688" t="s">
        <v>9669</v>
      </c>
      <c r="Z688" t="s">
        <v>74</v>
      </c>
      <c r="AA688" t="s">
        <v>9670</v>
      </c>
      <c r="AB688" t="s">
        <v>9671</v>
      </c>
      <c r="AC688" t="s">
        <v>74</v>
      </c>
      <c r="AD688" t="s">
        <v>74</v>
      </c>
      <c r="AE688" t="s">
        <v>74</v>
      </c>
      <c r="AF688" t="s">
        <v>74</v>
      </c>
      <c r="AG688">
        <v>17</v>
      </c>
      <c r="AH688">
        <v>168</v>
      </c>
      <c r="AI688">
        <v>185</v>
      </c>
      <c r="AJ688">
        <v>3</v>
      </c>
      <c r="AK688">
        <v>39</v>
      </c>
      <c r="AL688" t="s">
        <v>387</v>
      </c>
      <c r="AM688" t="s">
        <v>388</v>
      </c>
      <c r="AN688" t="s">
        <v>389</v>
      </c>
      <c r="AO688" t="s">
        <v>5169</v>
      </c>
      <c r="AP688" t="s">
        <v>74</v>
      </c>
      <c r="AQ688" t="s">
        <v>74</v>
      </c>
      <c r="AR688" t="s">
        <v>5171</v>
      </c>
      <c r="AS688" t="s">
        <v>5172</v>
      </c>
      <c r="AT688" t="s">
        <v>9646</v>
      </c>
      <c r="AU688">
        <v>2002</v>
      </c>
      <c r="AV688">
        <v>29</v>
      </c>
      <c r="AW688">
        <v>18</v>
      </c>
      <c r="AX688" t="s">
        <v>74</v>
      </c>
      <c r="AY688" t="s">
        <v>74</v>
      </c>
      <c r="AZ688" t="s">
        <v>74</v>
      </c>
      <c r="BA688" t="s">
        <v>74</v>
      </c>
      <c r="BB688" t="s">
        <v>74</v>
      </c>
      <c r="BC688" t="s">
        <v>74</v>
      </c>
      <c r="BD688">
        <v>1878</v>
      </c>
      <c r="BE688" t="s">
        <v>9672</v>
      </c>
      <c r="BF688" t="str">
        <f>HYPERLINK("http://dx.doi.org/10.1029/2001GL011111","http://dx.doi.org/10.1029/2001GL011111")</f>
        <v>http://dx.doi.org/10.1029/2001GL011111</v>
      </c>
      <c r="BG688" t="s">
        <v>74</v>
      </c>
      <c r="BH688" t="s">
        <v>74</v>
      </c>
      <c r="BI688">
        <v>4</v>
      </c>
      <c r="BJ688" t="s">
        <v>1813</v>
      </c>
      <c r="BK688" t="s">
        <v>569</v>
      </c>
      <c r="BL688" t="s">
        <v>1814</v>
      </c>
      <c r="BM688" t="s">
        <v>9661</v>
      </c>
      <c r="BN688" t="s">
        <v>74</v>
      </c>
      <c r="BO688" t="s">
        <v>572</v>
      </c>
      <c r="BP688" t="s">
        <v>74</v>
      </c>
      <c r="BQ688" t="s">
        <v>74</v>
      </c>
      <c r="BR688" t="s">
        <v>98</v>
      </c>
      <c r="BS688" t="s">
        <v>9673</v>
      </c>
      <c r="BT688" t="str">
        <f>HYPERLINK("https%3A%2F%2Fwww.webofscience.com%2Fwos%2Fwoscc%2Ffull-record%2FWOS:000180398000025","View Full Record in Web of Science")</f>
        <v>View Full Record in Web of Science</v>
      </c>
    </row>
    <row r="689" spans="1:72" x14ac:dyDescent="0.15">
      <c r="A689" t="s">
        <v>552</v>
      </c>
      <c r="B689" t="s">
        <v>9674</v>
      </c>
      <c r="C689" t="s">
        <v>74</v>
      </c>
      <c r="D689" t="s">
        <v>74</v>
      </c>
      <c r="E689" t="s">
        <v>74</v>
      </c>
      <c r="F689" t="s">
        <v>9674</v>
      </c>
      <c r="G689" t="s">
        <v>74</v>
      </c>
      <c r="H689" t="s">
        <v>74</v>
      </c>
      <c r="I689" t="s">
        <v>9675</v>
      </c>
      <c r="J689" t="s">
        <v>5130</v>
      </c>
      <c r="K689" t="s">
        <v>74</v>
      </c>
      <c r="L689" t="s">
        <v>74</v>
      </c>
      <c r="M689" t="s">
        <v>78</v>
      </c>
      <c r="N689" t="s">
        <v>775</v>
      </c>
      <c r="O689" t="s">
        <v>74</v>
      </c>
      <c r="P689" t="s">
        <v>74</v>
      </c>
      <c r="Q689" t="s">
        <v>74</v>
      </c>
      <c r="R689" t="s">
        <v>74</v>
      </c>
      <c r="S689" t="s">
        <v>74</v>
      </c>
      <c r="T689" t="s">
        <v>9676</v>
      </c>
      <c r="U689" t="s">
        <v>9677</v>
      </c>
      <c r="V689" t="s">
        <v>9678</v>
      </c>
      <c r="W689" t="s">
        <v>9679</v>
      </c>
      <c r="X689" t="s">
        <v>9680</v>
      </c>
      <c r="Y689" t="s">
        <v>9681</v>
      </c>
      <c r="Z689" t="s">
        <v>9682</v>
      </c>
      <c r="AA689" t="s">
        <v>74</v>
      </c>
      <c r="AB689" t="s">
        <v>9683</v>
      </c>
      <c r="AC689" t="s">
        <v>74</v>
      </c>
      <c r="AD689" t="s">
        <v>74</v>
      </c>
      <c r="AE689" t="s">
        <v>74</v>
      </c>
      <c r="AF689" t="s">
        <v>74</v>
      </c>
      <c r="AG689">
        <v>45</v>
      </c>
      <c r="AH689">
        <v>17</v>
      </c>
      <c r="AI689">
        <v>22</v>
      </c>
      <c r="AJ689">
        <v>0</v>
      </c>
      <c r="AK689">
        <v>6</v>
      </c>
      <c r="AL689" t="s">
        <v>3155</v>
      </c>
      <c r="AM689" t="s">
        <v>1861</v>
      </c>
      <c r="AN689" t="s">
        <v>3156</v>
      </c>
      <c r="AO689" t="s">
        <v>5139</v>
      </c>
      <c r="AP689" t="s">
        <v>5140</v>
      </c>
      <c r="AQ689" t="s">
        <v>74</v>
      </c>
      <c r="AR689" t="s">
        <v>5141</v>
      </c>
      <c r="AS689" t="s">
        <v>5142</v>
      </c>
      <c r="AT689" t="s">
        <v>9646</v>
      </c>
      <c r="AU689">
        <v>2002</v>
      </c>
      <c r="AV689">
        <v>189</v>
      </c>
      <c r="AW689" t="s">
        <v>1866</v>
      </c>
      <c r="AX689" t="s">
        <v>74</v>
      </c>
      <c r="AY689" t="s">
        <v>74</v>
      </c>
      <c r="AZ689" t="s">
        <v>74</v>
      </c>
      <c r="BA689" t="s">
        <v>74</v>
      </c>
      <c r="BB689">
        <v>63</v>
      </c>
      <c r="BC689">
        <v>77</v>
      </c>
      <c r="BD689" t="s">
        <v>9684</v>
      </c>
      <c r="BE689" t="s">
        <v>9685</v>
      </c>
      <c r="BF689" t="str">
        <f>HYPERLINK("http://dx.doi.org/10.1016/S0025-3227(02)00323-7","http://dx.doi.org/10.1016/S0025-3227(02)00323-7")</f>
        <v>http://dx.doi.org/10.1016/S0025-3227(02)00323-7</v>
      </c>
      <c r="BG689" t="s">
        <v>74</v>
      </c>
      <c r="BH689" t="s">
        <v>74</v>
      </c>
      <c r="BI689">
        <v>15</v>
      </c>
      <c r="BJ689" t="s">
        <v>5146</v>
      </c>
      <c r="BK689" t="s">
        <v>569</v>
      </c>
      <c r="BL689" t="s">
        <v>5147</v>
      </c>
      <c r="BM689" t="s">
        <v>9686</v>
      </c>
      <c r="BN689" t="s">
        <v>74</v>
      </c>
      <c r="BO689" t="s">
        <v>74</v>
      </c>
      <c r="BP689" t="s">
        <v>74</v>
      </c>
      <c r="BQ689" t="s">
        <v>74</v>
      </c>
      <c r="BR689" t="s">
        <v>98</v>
      </c>
      <c r="BS689" t="s">
        <v>9687</v>
      </c>
      <c r="BT689" t="str">
        <f>HYPERLINK("https%3A%2F%2Fwww.webofscience.com%2Fwos%2Fwoscc%2Ffull-record%2FWOS:000178528700005","View Full Record in Web of Science")</f>
        <v>View Full Record in Web of Science</v>
      </c>
    </row>
    <row r="690" spans="1:72" x14ac:dyDescent="0.15">
      <c r="A690" t="s">
        <v>552</v>
      </c>
      <c r="B690" t="s">
        <v>9688</v>
      </c>
      <c r="C690" t="s">
        <v>74</v>
      </c>
      <c r="D690" t="s">
        <v>74</v>
      </c>
      <c r="E690" t="s">
        <v>74</v>
      </c>
      <c r="F690" t="s">
        <v>9688</v>
      </c>
      <c r="G690" t="s">
        <v>74</v>
      </c>
      <c r="H690" t="s">
        <v>74</v>
      </c>
      <c r="I690" t="s">
        <v>9689</v>
      </c>
      <c r="J690" t="s">
        <v>5130</v>
      </c>
      <c r="K690" t="s">
        <v>74</v>
      </c>
      <c r="L690" t="s">
        <v>74</v>
      </c>
      <c r="M690" t="s">
        <v>78</v>
      </c>
      <c r="N690" t="s">
        <v>775</v>
      </c>
      <c r="O690" t="s">
        <v>74</v>
      </c>
      <c r="P690" t="s">
        <v>74</v>
      </c>
      <c r="Q690" t="s">
        <v>74</v>
      </c>
      <c r="R690" t="s">
        <v>74</v>
      </c>
      <c r="S690" t="s">
        <v>74</v>
      </c>
      <c r="T690" t="s">
        <v>9690</v>
      </c>
      <c r="U690" t="s">
        <v>9691</v>
      </c>
      <c r="V690" t="s">
        <v>9692</v>
      </c>
      <c r="W690" t="s">
        <v>9693</v>
      </c>
      <c r="X690" t="s">
        <v>9694</v>
      </c>
      <c r="Y690" t="s">
        <v>9695</v>
      </c>
      <c r="Z690" t="s">
        <v>74</v>
      </c>
      <c r="AA690" t="s">
        <v>74</v>
      </c>
      <c r="AB690" t="s">
        <v>9696</v>
      </c>
      <c r="AC690" t="s">
        <v>74</v>
      </c>
      <c r="AD690" t="s">
        <v>74</v>
      </c>
      <c r="AE690" t="s">
        <v>74</v>
      </c>
      <c r="AF690" t="s">
        <v>74</v>
      </c>
      <c r="AG690">
        <v>41</v>
      </c>
      <c r="AH690">
        <v>12</v>
      </c>
      <c r="AI690">
        <v>15</v>
      </c>
      <c r="AJ690">
        <v>0</v>
      </c>
      <c r="AK690">
        <v>6</v>
      </c>
      <c r="AL690" t="s">
        <v>1860</v>
      </c>
      <c r="AM690" t="s">
        <v>1861</v>
      </c>
      <c r="AN690" t="s">
        <v>1862</v>
      </c>
      <c r="AO690" t="s">
        <v>5139</v>
      </c>
      <c r="AP690" t="s">
        <v>74</v>
      </c>
      <c r="AQ690" t="s">
        <v>74</v>
      </c>
      <c r="AR690" t="s">
        <v>5141</v>
      </c>
      <c r="AS690" t="s">
        <v>5142</v>
      </c>
      <c r="AT690" t="s">
        <v>9646</v>
      </c>
      <c r="AU690">
        <v>2002</v>
      </c>
      <c r="AV690">
        <v>189</v>
      </c>
      <c r="AW690" t="s">
        <v>1866</v>
      </c>
      <c r="AX690" t="s">
        <v>74</v>
      </c>
      <c r="AY690" t="s">
        <v>74</v>
      </c>
      <c r="AZ690" t="s">
        <v>74</v>
      </c>
      <c r="BA690" t="s">
        <v>74</v>
      </c>
      <c r="BB690">
        <v>107</v>
      </c>
      <c r="BC690">
        <v>122</v>
      </c>
      <c r="BD690" t="s">
        <v>9697</v>
      </c>
      <c r="BE690" t="s">
        <v>9698</v>
      </c>
      <c r="BF690" t="str">
        <f>HYPERLINK("http://dx.doi.org/10.1016/S0025-3227(02)00325-0","http://dx.doi.org/10.1016/S0025-3227(02)00325-0")</f>
        <v>http://dx.doi.org/10.1016/S0025-3227(02)00325-0</v>
      </c>
      <c r="BG690" t="s">
        <v>74</v>
      </c>
      <c r="BH690" t="s">
        <v>74</v>
      </c>
      <c r="BI690">
        <v>16</v>
      </c>
      <c r="BJ690" t="s">
        <v>5146</v>
      </c>
      <c r="BK690" t="s">
        <v>569</v>
      </c>
      <c r="BL690" t="s">
        <v>5147</v>
      </c>
      <c r="BM690" t="s">
        <v>9686</v>
      </c>
      <c r="BN690" t="s">
        <v>74</v>
      </c>
      <c r="BO690" t="s">
        <v>74</v>
      </c>
      <c r="BP690" t="s">
        <v>74</v>
      </c>
      <c r="BQ690" t="s">
        <v>74</v>
      </c>
      <c r="BR690" t="s">
        <v>98</v>
      </c>
      <c r="BS690" t="s">
        <v>9699</v>
      </c>
      <c r="BT690" t="str">
        <f>HYPERLINK("https%3A%2F%2Fwww.webofscience.com%2Fwos%2Fwoscc%2Ffull-record%2FWOS:000178528700007","View Full Record in Web of Science")</f>
        <v>View Full Record in Web of Science</v>
      </c>
    </row>
    <row r="691" spans="1:72" x14ac:dyDescent="0.15">
      <c r="A691" t="s">
        <v>552</v>
      </c>
      <c r="B691" t="s">
        <v>9700</v>
      </c>
      <c r="C691" t="s">
        <v>74</v>
      </c>
      <c r="D691" t="s">
        <v>74</v>
      </c>
      <c r="E691" t="s">
        <v>74</v>
      </c>
      <c r="F691" t="s">
        <v>9700</v>
      </c>
      <c r="G691" t="s">
        <v>74</v>
      </c>
      <c r="H691" t="s">
        <v>74</v>
      </c>
      <c r="I691" t="s">
        <v>9701</v>
      </c>
      <c r="J691" t="s">
        <v>9702</v>
      </c>
      <c r="K691" t="s">
        <v>74</v>
      </c>
      <c r="L691" t="s">
        <v>74</v>
      </c>
      <c r="M691" t="s">
        <v>78</v>
      </c>
      <c r="N691" t="s">
        <v>775</v>
      </c>
      <c r="O691" t="s">
        <v>74</v>
      </c>
      <c r="P691" t="s">
        <v>74</v>
      </c>
      <c r="Q691" t="s">
        <v>74</v>
      </c>
      <c r="R691" t="s">
        <v>74</v>
      </c>
      <c r="S691" t="s">
        <v>74</v>
      </c>
      <c r="T691" t="s">
        <v>9703</v>
      </c>
      <c r="U691" t="s">
        <v>9704</v>
      </c>
      <c r="V691" t="s">
        <v>9705</v>
      </c>
      <c r="W691" t="s">
        <v>9706</v>
      </c>
      <c r="X691" t="s">
        <v>4605</v>
      </c>
      <c r="Y691" t="s">
        <v>9707</v>
      </c>
      <c r="Z691" t="s">
        <v>9708</v>
      </c>
      <c r="AA691" t="s">
        <v>4607</v>
      </c>
      <c r="AB691" t="s">
        <v>9709</v>
      </c>
      <c r="AC691" t="s">
        <v>74</v>
      </c>
      <c r="AD691" t="s">
        <v>74</v>
      </c>
      <c r="AE691" t="s">
        <v>74</v>
      </c>
      <c r="AF691" t="s">
        <v>74</v>
      </c>
      <c r="AG691">
        <v>97</v>
      </c>
      <c r="AH691">
        <v>5</v>
      </c>
      <c r="AI691">
        <v>6</v>
      </c>
      <c r="AJ691">
        <v>0</v>
      </c>
      <c r="AK691">
        <v>12</v>
      </c>
      <c r="AL691" t="s">
        <v>1147</v>
      </c>
      <c r="AM691" t="s">
        <v>1148</v>
      </c>
      <c r="AN691" t="s">
        <v>1149</v>
      </c>
      <c r="AO691" t="s">
        <v>9710</v>
      </c>
      <c r="AP691" t="s">
        <v>9711</v>
      </c>
      <c r="AQ691" t="s">
        <v>74</v>
      </c>
      <c r="AR691" t="s">
        <v>9712</v>
      </c>
      <c r="AS691" t="s">
        <v>9713</v>
      </c>
      <c r="AT691" t="s">
        <v>9646</v>
      </c>
      <c r="AU691">
        <v>2002</v>
      </c>
      <c r="AV691">
        <v>58</v>
      </c>
      <c r="AW691">
        <v>6</v>
      </c>
      <c r="AX691" t="s">
        <v>74</v>
      </c>
      <c r="AY691" t="s">
        <v>74</v>
      </c>
      <c r="AZ691" t="s">
        <v>74</v>
      </c>
      <c r="BA691" t="s">
        <v>74</v>
      </c>
      <c r="BB691">
        <v>504</v>
      </c>
      <c r="BC691">
        <v>513</v>
      </c>
      <c r="BD691" t="s">
        <v>74</v>
      </c>
      <c r="BE691" t="s">
        <v>9714</v>
      </c>
      <c r="BF691" t="str">
        <f>HYPERLINK("http://dx.doi.org/10.1002/jemt.10169","http://dx.doi.org/10.1002/jemt.10169")</f>
        <v>http://dx.doi.org/10.1002/jemt.10169</v>
      </c>
      <c r="BG691" t="s">
        <v>74</v>
      </c>
      <c r="BH691" t="s">
        <v>74</v>
      </c>
      <c r="BI691">
        <v>10</v>
      </c>
      <c r="BJ691" t="s">
        <v>9715</v>
      </c>
      <c r="BK691" t="s">
        <v>569</v>
      </c>
      <c r="BL691" t="s">
        <v>9716</v>
      </c>
      <c r="BM691" t="s">
        <v>9717</v>
      </c>
      <c r="BN691">
        <v>12242708</v>
      </c>
      <c r="BO691" t="s">
        <v>74</v>
      </c>
      <c r="BP691" t="s">
        <v>74</v>
      </c>
      <c r="BQ691" t="s">
        <v>74</v>
      </c>
      <c r="BR691" t="s">
        <v>98</v>
      </c>
      <c r="BS691" t="s">
        <v>9718</v>
      </c>
      <c r="BT691" t="str">
        <f>HYPERLINK("https%3A%2F%2Fwww.webofscience.com%2Fwos%2Fwoscc%2Ffull-record%2FWOS:000178264100010","View Full Record in Web of Science")</f>
        <v>View Full Record in Web of Science</v>
      </c>
    </row>
    <row r="692" spans="1:72" x14ac:dyDescent="0.15">
      <c r="A692" t="s">
        <v>552</v>
      </c>
      <c r="B692" t="s">
        <v>9719</v>
      </c>
      <c r="C692" t="s">
        <v>74</v>
      </c>
      <c r="D692" t="s">
        <v>74</v>
      </c>
      <c r="E692" t="s">
        <v>74</v>
      </c>
      <c r="F692" t="s">
        <v>9719</v>
      </c>
      <c r="G692" t="s">
        <v>74</v>
      </c>
      <c r="H692" t="s">
        <v>74</v>
      </c>
      <c r="I692" t="s">
        <v>9720</v>
      </c>
      <c r="J692" t="s">
        <v>4134</v>
      </c>
      <c r="K692" t="s">
        <v>74</v>
      </c>
      <c r="L692" t="s">
        <v>74</v>
      </c>
      <c r="M692" t="s">
        <v>78</v>
      </c>
      <c r="N692" t="s">
        <v>775</v>
      </c>
      <c r="O692" t="s">
        <v>74</v>
      </c>
      <c r="P692" t="s">
        <v>74</v>
      </c>
      <c r="Q692" t="s">
        <v>74</v>
      </c>
      <c r="R692" t="s">
        <v>74</v>
      </c>
      <c r="S692" t="s">
        <v>74</v>
      </c>
      <c r="T692" t="s">
        <v>9721</v>
      </c>
      <c r="U692" t="s">
        <v>9722</v>
      </c>
      <c r="V692" t="s">
        <v>9723</v>
      </c>
      <c r="W692" t="s">
        <v>540</v>
      </c>
      <c r="X692" t="s">
        <v>541</v>
      </c>
      <c r="Y692" t="s">
        <v>542</v>
      </c>
      <c r="Z692" t="s">
        <v>74</v>
      </c>
      <c r="AA692" t="s">
        <v>74</v>
      </c>
      <c r="AB692" t="s">
        <v>74</v>
      </c>
      <c r="AC692" t="s">
        <v>74</v>
      </c>
      <c r="AD692" t="s">
        <v>74</v>
      </c>
      <c r="AE692" t="s">
        <v>74</v>
      </c>
      <c r="AF692" t="s">
        <v>74</v>
      </c>
      <c r="AG692">
        <v>63</v>
      </c>
      <c r="AH692">
        <v>30</v>
      </c>
      <c r="AI692">
        <v>30</v>
      </c>
      <c r="AJ692">
        <v>1</v>
      </c>
      <c r="AK692">
        <v>8</v>
      </c>
      <c r="AL692" t="s">
        <v>1860</v>
      </c>
      <c r="AM692" t="s">
        <v>1861</v>
      </c>
      <c r="AN692" t="s">
        <v>1862</v>
      </c>
      <c r="AO692" t="s">
        <v>4142</v>
      </c>
      <c r="AP692" t="s">
        <v>74</v>
      </c>
      <c r="AQ692" t="s">
        <v>74</v>
      </c>
      <c r="AR692" t="s">
        <v>4143</v>
      </c>
      <c r="AS692" t="s">
        <v>4144</v>
      </c>
      <c r="AT692" t="s">
        <v>9646</v>
      </c>
      <c r="AU692">
        <v>2002</v>
      </c>
      <c r="AV692">
        <v>185</v>
      </c>
      <c r="AW692" t="s">
        <v>1424</v>
      </c>
      <c r="AX692" t="s">
        <v>74</v>
      </c>
      <c r="AY692" t="s">
        <v>74</v>
      </c>
      <c r="AZ692" t="s">
        <v>74</v>
      </c>
      <c r="BA692" t="s">
        <v>74</v>
      </c>
      <c r="BB692">
        <v>235</v>
      </c>
      <c r="BC692">
        <v>254</v>
      </c>
      <c r="BD692" t="s">
        <v>9724</v>
      </c>
      <c r="BE692" t="s">
        <v>9725</v>
      </c>
      <c r="BF692" t="str">
        <f>HYPERLINK("http://dx.doi.org/10.1016/S0031-0182(02)00280-8","http://dx.doi.org/10.1016/S0031-0182(02)00280-8")</f>
        <v>http://dx.doi.org/10.1016/S0031-0182(02)00280-8</v>
      </c>
      <c r="BG692" t="s">
        <v>74</v>
      </c>
      <c r="BH692" t="s">
        <v>74</v>
      </c>
      <c r="BI692">
        <v>20</v>
      </c>
      <c r="BJ692" t="s">
        <v>4147</v>
      </c>
      <c r="BK692" t="s">
        <v>569</v>
      </c>
      <c r="BL692" t="s">
        <v>4148</v>
      </c>
      <c r="BM692" t="s">
        <v>9726</v>
      </c>
      <c r="BN692" t="s">
        <v>74</v>
      </c>
      <c r="BO692" t="s">
        <v>74</v>
      </c>
      <c r="BP692" t="s">
        <v>74</v>
      </c>
      <c r="BQ692" t="s">
        <v>74</v>
      </c>
      <c r="BR692" t="s">
        <v>98</v>
      </c>
      <c r="BS692" t="s">
        <v>9727</v>
      </c>
      <c r="BT692" t="str">
        <f>HYPERLINK("https%3A%2F%2Fwww.webofscience.com%2Fwos%2Fwoscc%2Ffull-record%2FWOS:000178268800001","View Full Record in Web of Science")</f>
        <v>View Full Record in Web of Science</v>
      </c>
    </row>
    <row r="693" spans="1:72" x14ac:dyDescent="0.15">
      <c r="A693" t="s">
        <v>552</v>
      </c>
      <c r="B693" t="s">
        <v>9728</v>
      </c>
      <c r="C693" t="s">
        <v>74</v>
      </c>
      <c r="D693" t="s">
        <v>74</v>
      </c>
      <c r="E693" t="s">
        <v>74</v>
      </c>
      <c r="F693" t="s">
        <v>9728</v>
      </c>
      <c r="G693" t="s">
        <v>74</v>
      </c>
      <c r="H693" t="s">
        <v>74</v>
      </c>
      <c r="I693" t="s">
        <v>9729</v>
      </c>
      <c r="J693" t="s">
        <v>4134</v>
      </c>
      <c r="K693" t="s">
        <v>74</v>
      </c>
      <c r="L693" t="s">
        <v>74</v>
      </c>
      <c r="M693" t="s">
        <v>78</v>
      </c>
      <c r="N693" t="s">
        <v>775</v>
      </c>
      <c r="O693" t="s">
        <v>74</v>
      </c>
      <c r="P693" t="s">
        <v>74</v>
      </c>
      <c r="Q693" t="s">
        <v>74</v>
      </c>
      <c r="R693" t="s">
        <v>74</v>
      </c>
      <c r="S693" t="s">
        <v>74</v>
      </c>
      <c r="T693" t="s">
        <v>9730</v>
      </c>
      <c r="U693" t="s">
        <v>9731</v>
      </c>
      <c r="V693" t="s">
        <v>9732</v>
      </c>
      <c r="W693" t="s">
        <v>9733</v>
      </c>
      <c r="X693" t="s">
        <v>9734</v>
      </c>
      <c r="Y693" t="s">
        <v>9735</v>
      </c>
      <c r="Z693" t="s">
        <v>9736</v>
      </c>
      <c r="AA693" t="s">
        <v>74</v>
      </c>
      <c r="AB693" t="s">
        <v>74</v>
      </c>
      <c r="AC693" t="s">
        <v>74</v>
      </c>
      <c r="AD693" t="s">
        <v>74</v>
      </c>
      <c r="AE693" t="s">
        <v>74</v>
      </c>
      <c r="AF693" t="s">
        <v>74</v>
      </c>
      <c r="AG693">
        <v>56</v>
      </c>
      <c r="AH693">
        <v>104</v>
      </c>
      <c r="AI693">
        <v>127</v>
      </c>
      <c r="AJ693">
        <v>0</v>
      </c>
      <c r="AK693">
        <v>36</v>
      </c>
      <c r="AL693" t="s">
        <v>3155</v>
      </c>
      <c r="AM693" t="s">
        <v>1861</v>
      </c>
      <c r="AN693" t="s">
        <v>3156</v>
      </c>
      <c r="AO693" t="s">
        <v>4142</v>
      </c>
      <c r="AP693" t="s">
        <v>8067</v>
      </c>
      <c r="AQ693" t="s">
        <v>74</v>
      </c>
      <c r="AR693" t="s">
        <v>4143</v>
      </c>
      <c r="AS693" t="s">
        <v>4144</v>
      </c>
      <c r="AT693" t="s">
        <v>9646</v>
      </c>
      <c r="AU693">
        <v>2002</v>
      </c>
      <c r="AV693">
        <v>185</v>
      </c>
      <c r="AW693" t="s">
        <v>1424</v>
      </c>
      <c r="AX693" t="s">
        <v>74</v>
      </c>
      <c r="AY693" t="s">
        <v>74</v>
      </c>
      <c r="AZ693" t="s">
        <v>74</v>
      </c>
      <c r="BA693" t="s">
        <v>74</v>
      </c>
      <c r="BB693">
        <v>287</v>
      </c>
      <c r="BC693">
        <v>307</v>
      </c>
      <c r="BD693" t="s">
        <v>9737</v>
      </c>
      <c r="BE693" t="s">
        <v>9738</v>
      </c>
      <c r="BF693" t="str">
        <f>HYPERLINK("http://dx.doi.org/10.1016/S0031-0182(02)00340-1","http://dx.doi.org/10.1016/S0031-0182(02)00340-1")</f>
        <v>http://dx.doi.org/10.1016/S0031-0182(02)00340-1</v>
      </c>
      <c r="BG693" t="s">
        <v>74</v>
      </c>
      <c r="BH693" t="s">
        <v>74</v>
      </c>
      <c r="BI693">
        <v>21</v>
      </c>
      <c r="BJ693" t="s">
        <v>4147</v>
      </c>
      <c r="BK693" t="s">
        <v>569</v>
      </c>
      <c r="BL693" t="s">
        <v>4148</v>
      </c>
      <c r="BM693" t="s">
        <v>9726</v>
      </c>
      <c r="BN693" t="s">
        <v>74</v>
      </c>
      <c r="BO693" t="s">
        <v>74</v>
      </c>
      <c r="BP693" t="s">
        <v>74</v>
      </c>
      <c r="BQ693" t="s">
        <v>74</v>
      </c>
      <c r="BR693" t="s">
        <v>98</v>
      </c>
      <c r="BS693" t="s">
        <v>9739</v>
      </c>
      <c r="BT693" t="str">
        <f>HYPERLINK("https%3A%2F%2Fwww.webofscience.com%2Fwos%2Fwoscc%2Ffull-record%2FWOS:000178268800003","View Full Record in Web of Science")</f>
        <v>View Full Record in Web of Science</v>
      </c>
    </row>
    <row r="694" spans="1:72" x14ac:dyDescent="0.15">
      <c r="A694" t="s">
        <v>552</v>
      </c>
      <c r="B694" t="s">
        <v>9740</v>
      </c>
      <c r="C694" t="s">
        <v>74</v>
      </c>
      <c r="D694" t="s">
        <v>74</v>
      </c>
      <c r="E694" t="s">
        <v>74</v>
      </c>
      <c r="F694" t="s">
        <v>9740</v>
      </c>
      <c r="G694" t="s">
        <v>74</v>
      </c>
      <c r="H694" t="s">
        <v>74</v>
      </c>
      <c r="I694" t="s">
        <v>9741</v>
      </c>
      <c r="J694" t="s">
        <v>8208</v>
      </c>
      <c r="K694" t="s">
        <v>74</v>
      </c>
      <c r="L694" t="s">
        <v>74</v>
      </c>
      <c r="M694" t="s">
        <v>78</v>
      </c>
      <c r="N694" t="s">
        <v>775</v>
      </c>
      <c r="O694" t="s">
        <v>74</v>
      </c>
      <c r="P694" t="s">
        <v>74</v>
      </c>
      <c r="Q694" t="s">
        <v>74</v>
      </c>
      <c r="R694" t="s">
        <v>74</v>
      </c>
      <c r="S694" t="s">
        <v>74</v>
      </c>
      <c r="T694" t="s">
        <v>74</v>
      </c>
      <c r="U694" t="s">
        <v>9742</v>
      </c>
      <c r="V694" t="s">
        <v>9743</v>
      </c>
      <c r="W694" t="s">
        <v>9744</v>
      </c>
      <c r="X694" t="s">
        <v>9745</v>
      </c>
      <c r="Y694" t="s">
        <v>9746</v>
      </c>
      <c r="Z694" t="s">
        <v>74</v>
      </c>
      <c r="AA694" t="s">
        <v>9747</v>
      </c>
      <c r="AB694" t="s">
        <v>9748</v>
      </c>
      <c r="AC694" t="s">
        <v>74</v>
      </c>
      <c r="AD694" t="s">
        <v>74</v>
      </c>
      <c r="AE694" t="s">
        <v>74</v>
      </c>
      <c r="AF694" t="s">
        <v>74</v>
      </c>
      <c r="AG694">
        <v>34</v>
      </c>
      <c r="AH694">
        <v>74</v>
      </c>
      <c r="AI694">
        <v>88</v>
      </c>
      <c r="AJ694">
        <v>0</v>
      </c>
      <c r="AK694">
        <v>25</v>
      </c>
      <c r="AL694" t="s">
        <v>8212</v>
      </c>
      <c r="AM694" t="s">
        <v>388</v>
      </c>
      <c r="AN694" t="s">
        <v>8213</v>
      </c>
      <c r="AO694" t="s">
        <v>8214</v>
      </c>
      <c r="AP694" t="s">
        <v>74</v>
      </c>
      <c r="AQ694" t="s">
        <v>74</v>
      </c>
      <c r="AR694" t="s">
        <v>8208</v>
      </c>
      <c r="AS694" t="s">
        <v>8215</v>
      </c>
      <c r="AT694" t="s">
        <v>9749</v>
      </c>
      <c r="AU694">
        <v>2002</v>
      </c>
      <c r="AV694">
        <v>297</v>
      </c>
      <c r="AW694">
        <v>5588</v>
      </c>
      <c r="AX694" t="s">
        <v>74</v>
      </c>
      <c r="AY694" t="s">
        <v>74</v>
      </c>
      <c r="AZ694" t="s">
        <v>74</v>
      </c>
      <c r="BA694" t="s">
        <v>74</v>
      </c>
      <c r="BB694">
        <v>1862</v>
      </c>
      <c r="BC694">
        <v>1864</v>
      </c>
      <c r="BD694" t="s">
        <v>74</v>
      </c>
      <c r="BE694" t="s">
        <v>9750</v>
      </c>
      <c r="BF694" t="str">
        <f>HYPERLINK("http://dx.doi.org/10.1126/science.1074257","http://dx.doi.org/10.1126/science.1074257")</f>
        <v>http://dx.doi.org/10.1126/science.1074257</v>
      </c>
      <c r="BG694" t="s">
        <v>74</v>
      </c>
      <c r="BH694" t="s">
        <v>74</v>
      </c>
      <c r="BI694">
        <v>3</v>
      </c>
      <c r="BJ694" t="s">
        <v>5596</v>
      </c>
      <c r="BK694" t="s">
        <v>569</v>
      </c>
      <c r="BL694" t="s">
        <v>5597</v>
      </c>
      <c r="BM694" t="s">
        <v>9751</v>
      </c>
      <c r="BN694">
        <v>12228715</v>
      </c>
      <c r="BO694" t="s">
        <v>74</v>
      </c>
      <c r="BP694" t="s">
        <v>74</v>
      </c>
      <c r="BQ694" t="s">
        <v>74</v>
      </c>
      <c r="BR694" t="s">
        <v>98</v>
      </c>
      <c r="BS694" t="s">
        <v>9752</v>
      </c>
      <c r="BT694" t="str">
        <f>HYPERLINK("https%3A%2F%2Fwww.webofscience.com%2Fwos%2Fwoscc%2Ffull-record%2FWOS:000177955000041","View Full Record in Web of Science")</f>
        <v>View Full Record in Web of Science</v>
      </c>
    </row>
    <row r="695" spans="1:72" x14ac:dyDescent="0.15">
      <c r="A695" t="s">
        <v>552</v>
      </c>
      <c r="B695" t="s">
        <v>9753</v>
      </c>
      <c r="C695" t="s">
        <v>74</v>
      </c>
      <c r="D695" t="s">
        <v>74</v>
      </c>
      <c r="E695" t="s">
        <v>74</v>
      </c>
      <c r="F695" t="s">
        <v>9753</v>
      </c>
      <c r="G695" t="s">
        <v>74</v>
      </c>
      <c r="H695" t="s">
        <v>74</v>
      </c>
      <c r="I695" t="s">
        <v>9754</v>
      </c>
      <c r="J695" t="s">
        <v>9755</v>
      </c>
      <c r="K695" t="s">
        <v>74</v>
      </c>
      <c r="L695" t="s">
        <v>74</v>
      </c>
      <c r="M695" t="s">
        <v>78</v>
      </c>
      <c r="N695" t="s">
        <v>775</v>
      </c>
      <c r="O695" t="s">
        <v>74</v>
      </c>
      <c r="P695" t="s">
        <v>74</v>
      </c>
      <c r="Q695" t="s">
        <v>74</v>
      </c>
      <c r="R695" t="s">
        <v>74</v>
      </c>
      <c r="S695" t="s">
        <v>74</v>
      </c>
      <c r="T695" t="s">
        <v>9756</v>
      </c>
      <c r="U695" t="s">
        <v>9757</v>
      </c>
      <c r="V695" t="s">
        <v>9758</v>
      </c>
      <c r="W695" t="s">
        <v>9759</v>
      </c>
      <c r="X695" t="s">
        <v>9760</v>
      </c>
      <c r="Y695" t="s">
        <v>9761</v>
      </c>
      <c r="Z695" t="s">
        <v>9762</v>
      </c>
      <c r="AA695" t="s">
        <v>74</v>
      </c>
      <c r="AB695" t="s">
        <v>74</v>
      </c>
      <c r="AC695" t="s">
        <v>74</v>
      </c>
      <c r="AD695" t="s">
        <v>74</v>
      </c>
      <c r="AE695" t="s">
        <v>74</v>
      </c>
      <c r="AF695" t="s">
        <v>74</v>
      </c>
      <c r="AG695">
        <v>50</v>
      </c>
      <c r="AH695">
        <v>39</v>
      </c>
      <c r="AI695">
        <v>67</v>
      </c>
      <c r="AJ695">
        <v>0</v>
      </c>
      <c r="AK695">
        <v>27</v>
      </c>
      <c r="AL695" t="s">
        <v>1860</v>
      </c>
      <c r="AM695" t="s">
        <v>1861</v>
      </c>
      <c r="AN695" t="s">
        <v>1862</v>
      </c>
      <c r="AO695" t="s">
        <v>9763</v>
      </c>
      <c r="AP695" t="s">
        <v>74</v>
      </c>
      <c r="AQ695" t="s">
        <v>74</v>
      </c>
      <c r="AR695" t="s">
        <v>9764</v>
      </c>
      <c r="AS695" t="s">
        <v>9765</v>
      </c>
      <c r="AT695" t="s">
        <v>9766</v>
      </c>
      <c r="AU695">
        <v>2002</v>
      </c>
      <c r="AV695">
        <v>59</v>
      </c>
      <c r="AW695" t="s">
        <v>1866</v>
      </c>
      <c r="AX695" t="s">
        <v>74</v>
      </c>
      <c r="AY695" t="s">
        <v>74</v>
      </c>
      <c r="AZ695" t="s">
        <v>74</v>
      </c>
      <c r="BA695" t="s">
        <v>74</v>
      </c>
      <c r="BB695">
        <v>115</v>
      </c>
      <c r="BC695">
        <v>135</v>
      </c>
      <c r="BD695" t="s">
        <v>9767</v>
      </c>
      <c r="BE695" t="s">
        <v>9768</v>
      </c>
      <c r="BF695" t="str">
        <f>HYPERLINK("http://dx.doi.org/10.1016/S0166-445X(01)00245-4","http://dx.doi.org/10.1016/S0166-445X(01)00245-4")</f>
        <v>http://dx.doi.org/10.1016/S0166-445X(01)00245-4</v>
      </c>
      <c r="BG695" t="s">
        <v>74</v>
      </c>
      <c r="BH695" t="s">
        <v>74</v>
      </c>
      <c r="BI695">
        <v>21</v>
      </c>
      <c r="BJ695" t="s">
        <v>9769</v>
      </c>
      <c r="BK695" t="s">
        <v>569</v>
      </c>
      <c r="BL695" t="s">
        <v>9769</v>
      </c>
      <c r="BM695" t="s">
        <v>9770</v>
      </c>
      <c r="BN695">
        <v>12088638</v>
      </c>
      <c r="BO695" t="s">
        <v>74</v>
      </c>
      <c r="BP695" t="s">
        <v>74</v>
      </c>
      <c r="BQ695" t="s">
        <v>74</v>
      </c>
      <c r="BR695" t="s">
        <v>98</v>
      </c>
      <c r="BS695" t="s">
        <v>9771</v>
      </c>
      <c r="BT695" t="str">
        <f>HYPERLINK("https%3A%2F%2Fwww.webofscience.com%2Fwos%2Fwoscc%2Ffull-record%2FWOS:000176782000009","View Full Record in Web of Science")</f>
        <v>View Full Record in Web of Science</v>
      </c>
    </row>
    <row r="696" spans="1:72" x14ac:dyDescent="0.15">
      <c r="A696" t="s">
        <v>552</v>
      </c>
      <c r="B696" t="s">
        <v>9772</v>
      </c>
      <c r="C696" t="s">
        <v>74</v>
      </c>
      <c r="D696" t="s">
        <v>74</v>
      </c>
      <c r="E696" t="s">
        <v>74</v>
      </c>
      <c r="F696" t="s">
        <v>9772</v>
      </c>
      <c r="G696" t="s">
        <v>74</v>
      </c>
      <c r="H696" t="s">
        <v>74</v>
      </c>
      <c r="I696" t="s">
        <v>9773</v>
      </c>
      <c r="J696" t="s">
        <v>9774</v>
      </c>
      <c r="K696" t="s">
        <v>74</v>
      </c>
      <c r="L696" t="s">
        <v>74</v>
      </c>
      <c r="M696" t="s">
        <v>78</v>
      </c>
      <c r="N696" t="s">
        <v>775</v>
      </c>
      <c r="O696" t="s">
        <v>74</v>
      </c>
      <c r="P696" t="s">
        <v>74</v>
      </c>
      <c r="Q696" t="s">
        <v>74</v>
      </c>
      <c r="R696" t="s">
        <v>74</v>
      </c>
      <c r="S696" t="s">
        <v>74</v>
      </c>
      <c r="T696" t="s">
        <v>74</v>
      </c>
      <c r="U696" t="s">
        <v>9775</v>
      </c>
      <c r="V696" t="s">
        <v>9776</v>
      </c>
      <c r="W696" t="s">
        <v>9777</v>
      </c>
      <c r="X696" t="s">
        <v>9778</v>
      </c>
      <c r="Y696" t="s">
        <v>9779</v>
      </c>
      <c r="Z696" t="s">
        <v>74</v>
      </c>
      <c r="AA696" t="s">
        <v>9780</v>
      </c>
      <c r="AB696" t="s">
        <v>9781</v>
      </c>
      <c r="AC696" t="s">
        <v>74</v>
      </c>
      <c r="AD696" t="s">
        <v>74</v>
      </c>
      <c r="AE696" t="s">
        <v>74</v>
      </c>
      <c r="AF696" t="s">
        <v>74</v>
      </c>
      <c r="AG696">
        <v>11</v>
      </c>
      <c r="AH696">
        <v>15</v>
      </c>
      <c r="AI696">
        <v>15</v>
      </c>
      <c r="AJ696">
        <v>1</v>
      </c>
      <c r="AK696">
        <v>3</v>
      </c>
      <c r="AL696" t="s">
        <v>4897</v>
      </c>
      <c r="AM696" t="s">
        <v>4898</v>
      </c>
      <c r="AN696" t="s">
        <v>4899</v>
      </c>
      <c r="AO696" t="s">
        <v>9782</v>
      </c>
      <c r="AP696" t="s">
        <v>74</v>
      </c>
      <c r="AQ696" t="s">
        <v>74</v>
      </c>
      <c r="AR696" t="s">
        <v>9783</v>
      </c>
      <c r="AS696" t="s">
        <v>9784</v>
      </c>
      <c r="AT696" t="s">
        <v>9785</v>
      </c>
      <c r="AU696">
        <v>2002</v>
      </c>
      <c r="AV696">
        <v>58</v>
      </c>
      <c r="AW696" t="s">
        <v>74</v>
      </c>
      <c r="AX696">
        <v>9</v>
      </c>
      <c r="AY696" t="s">
        <v>74</v>
      </c>
      <c r="AZ696" t="s">
        <v>74</v>
      </c>
      <c r="BA696" t="s">
        <v>74</v>
      </c>
      <c r="BB696">
        <v>1494</v>
      </c>
      <c r="BC696">
        <v>1496</v>
      </c>
      <c r="BD696" t="s">
        <v>74</v>
      </c>
      <c r="BE696" t="s">
        <v>9786</v>
      </c>
      <c r="BF696" t="str">
        <f>HYPERLINK("http://dx.doi.org/10.1107/S0907444902011666","http://dx.doi.org/10.1107/S0907444902011666")</f>
        <v>http://dx.doi.org/10.1107/S0907444902011666</v>
      </c>
      <c r="BG696" t="s">
        <v>74</v>
      </c>
      <c r="BH696" t="s">
        <v>74</v>
      </c>
      <c r="BI696">
        <v>3</v>
      </c>
      <c r="BJ696" t="s">
        <v>9787</v>
      </c>
      <c r="BK696" t="s">
        <v>569</v>
      </c>
      <c r="BL696" t="s">
        <v>9788</v>
      </c>
      <c r="BM696" t="s">
        <v>9789</v>
      </c>
      <c r="BN696">
        <v>12198313</v>
      </c>
      <c r="BO696" t="s">
        <v>74</v>
      </c>
      <c r="BP696" t="s">
        <v>74</v>
      </c>
      <c r="BQ696" t="s">
        <v>74</v>
      </c>
      <c r="BR696" t="s">
        <v>98</v>
      </c>
      <c r="BS696" t="s">
        <v>9790</v>
      </c>
      <c r="BT696" t="str">
        <f>HYPERLINK("https%3A%2F%2Fwww.webofscience.com%2Fwos%2Fwoscc%2Ffull-record%2FWOS:000177624600021","View Full Record in Web of Science")</f>
        <v>View Full Record in Web of Science</v>
      </c>
    </row>
    <row r="697" spans="1:72" x14ac:dyDescent="0.15">
      <c r="A697" t="s">
        <v>552</v>
      </c>
      <c r="B697" t="s">
        <v>9791</v>
      </c>
      <c r="C697" t="s">
        <v>74</v>
      </c>
      <c r="D697" t="s">
        <v>74</v>
      </c>
      <c r="E697" t="s">
        <v>74</v>
      </c>
      <c r="F697" t="s">
        <v>9791</v>
      </c>
      <c r="G697" t="s">
        <v>74</v>
      </c>
      <c r="H697" t="s">
        <v>74</v>
      </c>
      <c r="I697" t="s">
        <v>9792</v>
      </c>
      <c r="J697" t="s">
        <v>5806</v>
      </c>
      <c r="K697" t="s">
        <v>74</v>
      </c>
      <c r="L697" t="s">
        <v>74</v>
      </c>
      <c r="M697" t="s">
        <v>78</v>
      </c>
      <c r="N697" t="s">
        <v>576</v>
      </c>
      <c r="O697" t="s">
        <v>9793</v>
      </c>
      <c r="P697" t="s">
        <v>9794</v>
      </c>
      <c r="Q697" t="s">
        <v>9795</v>
      </c>
      <c r="R697" t="s">
        <v>74</v>
      </c>
      <c r="S697" t="s">
        <v>74</v>
      </c>
      <c r="T697" t="s">
        <v>9796</v>
      </c>
      <c r="U697" t="s">
        <v>9797</v>
      </c>
      <c r="V697" t="s">
        <v>9798</v>
      </c>
      <c r="W697" t="s">
        <v>9799</v>
      </c>
      <c r="X697" t="s">
        <v>9800</v>
      </c>
      <c r="Y697" t="s">
        <v>9801</v>
      </c>
      <c r="Z697" t="s">
        <v>74</v>
      </c>
      <c r="AA697" t="s">
        <v>9802</v>
      </c>
      <c r="AB697" t="s">
        <v>9803</v>
      </c>
      <c r="AC697" t="s">
        <v>74</v>
      </c>
      <c r="AD697" t="s">
        <v>74</v>
      </c>
      <c r="AE697" t="s">
        <v>74</v>
      </c>
      <c r="AF697" t="s">
        <v>74</v>
      </c>
      <c r="AG697">
        <v>20</v>
      </c>
      <c r="AH697">
        <v>13</v>
      </c>
      <c r="AI697">
        <v>13</v>
      </c>
      <c r="AJ697">
        <v>0</v>
      </c>
      <c r="AK697">
        <v>4</v>
      </c>
      <c r="AL697" t="s">
        <v>5813</v>
      </c>
      <c r="AM697" t="s">
        <v>5814</v>
      </c>
      <c r="AN697" t="s">
        <v>5815</v>
      </c>
      <c r="AO697" t="s">
        <v>5816</v>
      </c>
      <c r="AP697" t="s">
        <v>74</v>
      </c>
      <c r="AQ697" t="s">
        <v>74</v>
      </c>
      <c r="AR697" t="s">
        <v>5817</v>
      </c>
      <c r="AS697" t="s">
        <v>5818</v>
      </c>
      <c r="AT697" t="s">
        <v>9785</v>
      </c>
      <c r="AU697">
        <v>2002</v>
      </c>
      <c r="AV697">
        <v>20</v>
      </c>
      <c r="AW697">
        <v>9</v>
      </c>
      <c r="AX697" t="s">
        <v>74</v>
      </c>
      <c r="AY697" t="s">
        <v>74</v>
      </c>
      <c r="AZ697" t="s">
        <v>74</v>
      </c>
      <c r="BA697" t="s">
        <v>74</v>
      </c>
      <c r="BB697">
        <v>1479</v>
      </c>
      <c r="BC697">
        <v>1486</v>
      </c>
      <c r="BD697" t="s">
        <v>74</v>
      </c>
      <c r="BE697" t="s">
        <v>9804</v>
      </c>
      <c r="BF697" t="str">
        <f>HYPERLINK("http://dx.doi.org/10.5194/angeo-20-1479-2002","http://dx.doi.org/10.5194/angeo-20-1479-2002")</f>
        <v>http://dx.doi.org/10.5194/angeo-20-1479-2002</v>
      </c>
      <c r="BG697" t="s">
        <v>74</v>
      </c>
      <c r="BH697" t="s">
        <v>74</v>
      </c>
      <c r="BI697">
        <v>8</v>
      </c>
      <c r="BJ697" t="s">
        <v>5820</v>
      </c>
      <c r="BK697" t="s">
        <v>589</v>
      </c>
      <c r="BL697" t="s">
        <v>5821</v>
      </c>
      <c r="BM697" t="s">
        <v>9805</v>
      </c>
      <c r="BN697" t="s">
        <v>74</v>
      </c>
      <c r="BO697" t="s">
        <v>5823</v>
      </c>
      <c r="BP697" t="s">
        <v>74</v>
      </c>
      <c r="BQ697" t="s">
        <v>74</v>
      </c>
      <c r="BR697" t="s">
        <v>98</v>
      </c>
      <c r="BS697" t="s">
        <v>9806</v>
      </c>
      <c r="BT697" t="str">
        <f>HYPERLINK("https%3A%2F%2Fwww.webofscience.com%2Fwos%2Fwoscc%2Ffull-record%2FWOS:000178862900019","View Full Record in Web of Science")</f>
        <v>View Full Record in Web of Science</v>
      </c>
    </row>
    <row r="698" spans="1:72" x14ac:dyDescent="0.15">
      <c r="A698" t="s">
        <v>552</v>
      </c>
      <c r="B698" t="s">
        <v>9807</v>
      </c>
      <c r="C698" t="s">
        <v>74</v>
      </c>
      <c r="D698" t="s">
        <v>74</v>
      </c>
      <c r="E698" t="s">
        <v>74</v>
      </c>
      <c r="F698" t="s">
        <v>9807</v>
      </c>
      <c r="G698" t="s">
        <v>74</v>
      </c>
      <c r="H698" t="s">
        <v>74</v>
      </c>
      <c r="I698" t="s">
        <v>9808</v>
      </c>
      <c r="J698" t="s">
        <v>555</v>
      </c>
      <c r="K698" t="s">
        <v>74</v>
      </c>
      <c r="L698" t="s">
        <v>74</v>
      </c>
      <c r="M698" t="s">
        <v>78</v>
      </c>
      <c r="N698" t="s">
        <v>556</v>
      </c>
      <c r="O698" t="s">
        <v>74</v>
      </c>
      <c r="P698" t="s">
        <v>74</v>
      </c>
      <c r="Q698" t="s">
        <v>74</v>
      </c>
      <c r="R698" t="s">
        <v>74</v>
      </c>
      <c r="S698" t="s">
        <v>74</v>
      </c>
      <c r="T698" t="s">
        <v>74</v>
      </c>
      <c r="U698" t="s">
        <v>74</v>
      </c>
      <c r="V698" t="s">
        <v>74</v>
      </c>
      <c r="W698" t="s">
        <v>74</v>
      </c>
      <c r="X698" t="s">
        <v>74</v>
      </c>
      <c r="Y698" t="s">
        <v>74</v>
      </c>
      <c r="Z698" t="s">
        <v>74</v>
      </c>
      <c r="AA698" t="s">
        <v>74</v>
      </c>
      <c r="AB698" t="s">
        <v>9809</v>
      </c>
      <c r="AC698" t="s">
        <v>74</v>
      </c>
      <c r="AD698" t="s">
        <v>74</v>
      </c>
      <c r="AE698" t="s">
        <v>74</v>
      </c>
      <c r="AF698" t="s">
        <v>74</v>
      </c>
      <c r="AG698">
        <v>0</v>
      </c>
      <c r="AH698">
        <v>0</v>
      </c>
      <c r="AI698">
        <v>0</v>
      </c>
      <c r="AJ698">
        <v>0</v>
      </c>
      <c r="AK698">
        <v>1</v>
      </c>
      <c r="AL698" t="s">
        <v>560</v>
      </c>
      <c r="AM698" t="s">
        <v>561</v>
      </c>
      <c r="AN698" t="s">
        <v>3082</v>
      </c>
      <c r="AO698" t="s">
        <v>563</v>
      </c>
      <c r="AP698" t="s">
        <v>74</v>
      </c>
      <c r="AQ698" t="s">
        <v>74</v>
      </c>
      <c r="AR698" t="s">
        <v>564</v>
      </c>
      <c r="AS698" t="s">
        <v>565</v>
      </c>
      <c r="AT698" t="s">
        <v>9785</v>
      </c>
      <c r="AU698">
        <v>2002</v>
      </c>
      <c r="AV698">
        <v>14</v>
      </c>
      <c r="AW698">
        <v>3</v>
      </c>
      <c r="AX698" t="s">
        <v>74</v>
      </c>
      <c r="AY698" t="s">
        <v>74</v>
      </c>
      <c r="AZ698" t="s">
        <v>74</v>
      </c>
      <c r="BA698" t="s">
        <v>74</v>
      </c>
      <c r="BB698">
        <v>199</v>
      </c>
      <c r="BC698">
        <v>199</v>
      </c>
      <c r="BD698" t="s">
        <v>74</v>
      </c>
      <c r="BE698" t="s">
        <v>74</v>
      </c>
      <c r="BF698" t="s">
        <v>74</v>
      </c>
      <c r="BG698" t="s">
        <v>74</v>
      </c>
      <c r="BH698" t="s">
        <v>74</v>
      </c>
      <c r="BI698">
        <v>1</v>
      </c>
      <c r="BJ698" t="s">
        <v>568</v>
      </c>
      <c r="BK698" t="s">
        <v>569</v>
      </c>
      <c r="BL698" t="s">
        <v>570</v>
      </c>
      <c r="BM698" t="s">
        <v>9810</v>
      </c>
      <c r="BN698" t="s">
        <v>74</v>
      </c>
      <c r="BO698" t="s">
        <v>74</v>
      </c>
      <c r="BP698" t="s">
        <v>74</v>
      </c>
      <c r="BQ698" t="s">
        <v>74</v>
      </c>
      <c r="BR698" t="s">
        <v>98</v>
      </c>
      <c r="BS698" t="s">
        <v>9811</v>
      </c>
      <c r="BT698" t="str">
        <f>HYPERLINK("https%3A%2F%2Fwww.webofscience.com%2Fwos%2Fwoscc%2Ffull-record%2FWOS:000181092800001","View Full Record in Web of Science")</f>
        <v>View Full Record in Web of Science</v>
      </c>
    </row>
    <row r="699" spans="1:72" x14ac:dyDescent="0.15">
      <c r="A699" t="s">
        <v>552</v>
      </c>
      <c r="B699" t="s">
        <v>9812</v>
      </c>
      <c r="C699" t="s">
        <v>74</v>
      </c>
      <c r="D699" t="s">
        <v>74</v>
      </c>
      <c r="E699" t="s">
        <v>74</v>
      </c>
      <c r="F699" t="s">
        <v>9812</v>
      </c>
      <c r="G699" t="s">
        <v>74</v>
      </c>
      <c r="H699" t="s">
        <v>74</v>
      </c>
      <c r="I699" t="s">
        <v>9813</v>
      </c>
      <c r="J699" t="s">
        <v>555</v>
      </c>
      <c r="K699" t="s">
        <v>74</v>
      </c>
      <c r="L699" t="s">
        <v>74</v>
      </c>
      <c r="M699" t="s">
        <v>78</v>
      </c>
      <c r="N699" t="s">
        <v>775</v>
      </c>
      <c r="O699" t="s">
        <v>74</v>
      </c>
      <c r="P699" t="s">
        <v>74</v>
      </c>
      <c r="Q699" t="s">
        <v>74</v>
      </c>
      <c r="R699" t="s">
        <v>74</v>
      </c>
      <c r="S699" t="s">
        <v>74</v>
      </c>
      <c r="T699" t="s">
        <v>9814</v>
      </c>
      <c r="U699" t="s">
        <v>9815</v>
      </c>
      <c r="V699" t="s">
        <v>9816</v>
      </c>
      <c r="W699" t="s">
        <v>9817</v>
      </c>
      <c r="X699" t="s">
        <v>9818</v>
      </c>
      <c r="Y699" t="s">
        <v>9819</v>
      </c>
      <c r="Z699" t="s">
        <v>9820</v>
      </c>
      <c r="AA699" t="s">
        <v>9821</v>
      </c>
      <c r="AB699" t="s">
        <v>74</v>
      </c>
      <c r="AC699" t="s">
        <v>74</v>
      </c>
      <c r="AD699" t="s">
        <v>74</v>
      </c>
      <c r="AE699" t="s">
        <v>74</v>
      </c>
      <c r="AF699" t="s">
        <v>74</v>
      </c>
      <c r="AG699">
        <v>40</v>
      </c>
      <c r="AH699">
        <v>11</v>
      </c>
      <c r="AI699">
        <v>11</v>
      </c>
      <c r="AJ699">
        <v>0</v>
      </c>
      <c r="AK699">
        <v>3</v>
      </c>
      <c r="AL699" t="s">
        <v>560</v>
      </c>
      <c r="AM699" t="s">
        <v>561</v>
      </c>
      <c r="AN699" t="s">
        <v>603</v>
      </c>
      <c r="AO699" t="s">
        <v>563</v>
      </c>
      <c r="AP699" t="s">
        <v>640</v>
      </c>
      <c r="AQ699" t="s">
        <v>74</v>
      </c>
      <c r="AR699" t="s">
        <v>564</v>
      </c>
      <c r="AS699" t="s">
        <v>565</v>
      </c>
      <c r="AT699" t="s">
        <v>9785</v>
      </c>
      <c r="AU699">
        <v>2002</v>
      </c>
      <c r="AV699">
        <v>14</v>
      </c>
      <c r="AW699">
        <v>3</v>
      </c>
      <c r="AX699" t="s">
        <v>74</v>
      </c>
      <c r="AY699" t="s">
        <v>74</v>
      </c>
      <c r="AZ699" t="s">
        <v>74</v>
      </c>
      <c r="BA699" t="s">
        <v>74</v>
      </c>
      <c r="BB699">
        <v>201</v>
      </c>
      <c r="BC699">
        <v>211</v>
      </c>
      <c r="BD699" t="s">
        <v>74</v>
      </c>
      <c r="BE699" t="s">
        <v>9822</v>
      </c>
      <c r="BF699" t="str">
        <f>HYPERLINK("http://dx.doi.org/10.1017/S0954102002000019","http://dx.doi.org/10.1017/S0954102002000019")</f>
        <v>http://dx.doi.org/10.1017/S0954102002000019</v>
      </c>
      <c r="BG699" t="s">
        <v>74</v>
      </c>
      <c r="BH699" t="s">
        <v>74</v>
      </c>
      <c r="BI699">
        <v>11</v>
      </c>
      <c r="BJ699" t="s">
        <v>568</v>
      </c>
      <c r="BK699" t="s">
        <v>569</v>
      </c>
      <c r="BL699" t="s">
        <v>570</v>
      </c>
      <c r="BM699" t="s">
        <v>9810</v>
      </c>
      <c r="BN699" t="s">
        <v>74</v>
      </c>
      <c r="BO699" t="s">
        <v>74</v>
      </c>
      <c r="BP699" t="s">
        <v>74</v>
      </c>
      <c r="BQ699" t="s">
        <v>74</v>
      </c>
      <c r="BR699" t="s">
        <v>98</v>
      </c>
      <c r="BS699" t="s">
        <v>9823</v>
      </c>
      <c r="BT699" t="str">
        <f>HYPERLINK("https%3A%2F%2Fwww.webofscience.com%2Fwos%2Fwoscc%2Ffull-record%2FWOS:000181092800002","View Full Record in Web of Science")</f>
        <v>View Full Record in Web of Science</v>
      </c>
    </row>
    <row r="700" spans="1:72" x14ac:dyDescent="0.15">
      <c r="A700" t="s">
        <v>552</v>
      </c>
      <c r="B700" t="s">
        <v>9824</v>
      </c>
      <c r="C700" t="s">
        <v>74</v>
      </c>
      <c r="D700" t="s">
        <v>74</v>
      </c>
      <c r="E700" t="s">
        <v>74</v>
      </c>
      <c r="F700" t="s">
        <v>9824</v>
      </c>
      <c r="G700" t="s">
        <v>74</v>
      </c>
      <c r="H700" t="s">
        <v>74</v>
      </c>
      <c r="I700" t="s">
        <v>9825</v>
      </c>
      <c r="J700" t="s">
        <v>555</v>
      </c>
      <c r="K700" t="s">
        <v>74</v>
      </c>
      <c r="L700" t="s">
        <v>74</v>
      </c>
      <c r="M700" t="s">
        <v>78</v>
      </c>
      <c r="N700" t="s">
        <v>775</v>
      </c>
      <c r="O700" t="s">
        <v>74</v>
      </c>
      <c r="P700" t="s">
        <v>74</v>
      </c>
      <c r="Q700" t="s">
        <v>74</v>
      </c>
      <c r="R700" t="s">
        <v>74</v>
      </c>
      <c r="S700" t="s">
        <v>74</v>
      </c>
      <c r="T700" t="s">
        <v>9826</v>
      </c>
      <c r="U700" t="s">
        <v>9827</v>
      </c>
      <c r="V700" t="s">
        <v>9828</v>
      </c>
      <c r="W700" t="s">
        <v>9829</v>
      </c>
      <c r="X700" t="s">
        <v>3395</v>
      </c>
      <c r="Y700" t="s">
        <v>9830</v>
      </c>
      <c r="Z700" t="s">
        <v>3397</v>
      </c>
      <c r="AA700" t="s">
        <v>9831</v>
      </c>
      <c r="AB700" t="s">
        <v>74</v>
      </c>
      <c r="AC700" t="s">
        <v>74</v>
      </c>
      <c r="AD700" t="s">
        <v>74</v>
      </c>
      <c r="AE700" t="s">
        <v>74</v>
      </c>
      <c r="AF700" t="s">
        <v>74</v>
      </c>
      <c r="AG700">
        <v>46</v>
      </c>
      <c r="AH700">
        <v>70</v>
      </c>
      <c r="AI700">
        <v>81</v>
      </c>
      <c r="AJ700">
        <v>0</v>
      </c>
      <c r="AK700">
        <v>15</v>
      </c>
      <c r="AL700" t="s">
        <v>560</v>
      </c>
      <c r="AM700" t="s">
        <v>561</v>
      </c>
      <c r="AN700" t="s">
        <v>603</v>
      </c>
      <c r="AO700" t="s">
        <v>563</v>
      </c>
      <c r="AP700" t="s">
        <v>640</v>
      </c>
      <c r="AQ700" t="s">
        <v>74</v>
      </c>
      <c r="AR700" t="s">
        <v>564</v>
      </c>
      <c r="AS700" t="s">
        <v>565</v>
      </c>
      <c r="AT700" t="s">
        <v>9785</v>
      </c>
      <c r="AU700">
        <v>2002</v>
      </c>
      <c r="AV700">
        <v>14</v>
      </c>
      <c r="AW700">
        <v>3</v>
      </c>
      <c r="AX700" t="s">
        <v>74</v>
      </c>
      <c r="AY700" t="s">
        <v>74</v>
      </c>
      <c r="AZ700" t="s">
        <v>74</v>
      </c>
      <c r="BA700" t="s">
        <v>74</v>
      </c>
      <c r="BB700">
        <v>212</v>
      </c>
      <c r="BC700">
        <v>220</v>
      </c>
      <c r="BD700" t="s">
        <v>74</v>
      </c>
      <c r="BE700" t="s">
        <v>9832</v>
      </c>
      <c r="BF700" t="str">
        <f>HYPERLINK("http://dx.doi.org/10.1017/S0954102002000044","http://dx.doi.org/10.1017/S0954102002000044")</f>
        <v>http://dx.doi.org/10.1017/S0954102002000044</v>
      </c>
      <c r="BG700" t="s">
        <v>74</v>
      </c>
      <c r="BH700" t="s">
        <v>74</v>
      </c>
      <c r="BI700">
        <v>9</v>
      </c>
      <c r="BJ700" t="s">
        <v>568</v>
      </c>
      <c r="BK700" t="s">
        <v>569</v>
      </c>
      <c r="BL700" t="s">
        <v>570</v>
      </c>
      <c r="BM700" t="s">
        <v>9810</v>
      </c>
      <c r="BN700" t="s">
        <v>74</v>
      </c>
      <c r="BO700" t="s">
        <v>74</v>
      </c>
      <c r="BP700" t="s">
        <v>74</v>
      </c>
      <c r="BQ700" t="s">
        <v>74</v>
      </c>
      <c r="BR700" t="s">
        <v>98</v>
      </c>
      <c r="BS700" t="s">
        <v>9833</v>
      </c>
      <c r="BT700" t="str">
        <f>HYPERLINK("https%3A%2F%2Fwww.webofscience.com%2Fwos%2Fwoscc%2Ffull-record%2FWOS:000181092800003","View Full Record in Web of Science")</f>
        <v>View Full Record in Web of Science</v>
      </c>
    </row>
    <row r="701" spans="1:72" x14ac:dyDescent="0.15">
      <c r="A701" t="s">
        <v>552</v>
      </c>
      <c r="B701" t="s">
        <v>9834</v>
      </c>
      <c r="C701" t="s">
        <v>74</v>
      </c>
      <c r="D701" t="s">
        <v>74</v>
      </c>
      <c r="E701" t="s">
        <v>74</v>
      </c>
      <c r="F701" t="s">
        <v>9834</v>
      </c>
      <c r="G701" t="s">
        <v>74</v>
      </c>
      <c r="H701" t="s">
        <v>74</v>
      </c>
      <c r="I701" t="s">
        <v>9835</v>
      </c>
      <c r="J701" t="s">
        <v>555</v>
      </c>
      <c r="K701" t="s">
        <v>74</v>
      </c>
      <c r="L701" t="s">
        <v>74</v>
      </c>
      <c r="M701" t="s">
        <v>78</v>
      </c>
      <c r="N701" t="s">
        <v>775</v>
      </c>
      <c r="O701" t="s">
        <v>74</v>
      </c>
      <c r="P701" t="s">
        <v>74</v>
      </c>
      <c r="Q701" t="s">
        <v>74</v>
      </c>
      <c r="R701" t="s">
        <v>74</v>
      </c>
      <c r="S701" t="s">
        <v>74</v>
      </c>
      <c r="T701" t="s">
        <v>9836</v>
      </c>
      <c r="U701" t="s">
        <v>9837</v>
      </c>
      <c r="V701" t="s">
        <v>9838</v>
      </c>
      <c r="W701" t="s">
        <v>9839</v>
      </c>
      <c r="X701" t="s">
        <v>5837</v>
      </c>
      <c r="Y701" t="s">
        <v>9840</v>
      </c>
      <c r="Z701" t="s">
        <v>74</v>
      </c>
      <c r="AA701" t="s">
        <v>74</v>
      </c>
      <c r="AB701" t="s">
        <v>74</v>
      </c>
      <c r="AC701" t="s">
        <v>74</v>
      </c>
      <c r="AD701" t="s">
        <v>74</v>
      </c>
      <c r="AE701" t="s">
        <v>74</v>
      </c>
      <c r="AF701" t="s">
        <v>74</v>
      </c>
      <c r="AG701">
        <v>16</v>
      </c>
      <c r="AH701">
        <v>12</v>
      </c>
      <c r="AI701">
        <v>12</v>
      </c>
      <c r="AJ701">
        <v>0</v>
      </c>
      <c r="AK701">
        <v>1</v>
      </c>
      <c r="AL701" t="s">
        <v>560</v>
      </c>
      <c r="AM701" t="s">
        <v>561</v>
      </c>
      <c r="AN701" t="s">
        <v>3082</v>
      </c>
      <c r="AO701" t="s">
        <v>563</v>
      </c>
      <c r="AP701" t="s">
        <v>74</v>
      </c>
      <c r="AQ701" t="s">
        <v>74</v>
      </c>
      <c r="AR701" t="s">
        <v>564</v>
      </c>
      <c r="AS701" t="s">
        <v>565</v>
      </c>
      <c r="AT701" t="s">
        <v>9785</v>
      </c>
      <c r="AU701">
        <v>2002</v>
      </c>
      <c r="AV701">
        <v>14</v>
      </c>
      <c r="AW701">
        <v>3</v>
      </c>
      <c r="AX701" t="s">
        <v>74</v>
      </c>
      <c r="AY701" t="s">
        <v>74</v>
      </c>
      <c r="AZ701" t="s">
        <v>74</v>
      </c>
      <c r="BA701" t="s">
        <v>74</v>
      </c>
      <c r="BB701">
        <v>221</v>
      </c>
      <c r="BC701">
        <v>224</v>
      </c>
      <c r="BD701" t="s">
        <v>74</v>
      </c>
      <c r="BE701" t="s">
        <v>9841</v>
      </c>
      <c r="BF701" t="str">
        <f>HYPERLINK("http://dx.doi.org/10.1017/S0954102002000056","http://dx.doi.org/10.1017/S0954102002000056")</f>
        <v>http://dx.doi.org/10.1017/S0954102002000056</v>
      </c>
      <c r="BG701" t="s">
        <v>74</v>
      </c>
      <c r="BH701" t="s">
        <v>74</v>
      </c>
      <c r="BI701">
        <v>4</v>
      </c>
      <c r="BJ701" t="s">
        <v>568</v>
      </c>
      <c r="BK701" t="s">
        <v>569</v>
      </c>
      <c r="BL701" t="s">
        <v>570</v>
      </c>
      <c r="BM701" t="s">
        <v>9810</v>
      </c>
      <c r="BN701" t="s">
        <v>74</v>
      </c>
      <c r="BO701" t="s">
        <v>794</v>
      </c>
      <c r="BP701" t="s">
        <v>74</v>
      </c>
      <c r="BQ701" t="s">
        <v>74</v>
      </c>
      <c r="BR701" t="s">
        <v>98</v>
      </c>
      <c r="BS701" t="s">
        <v>9842</v>
      </c>
      <c r="BT701" t="str">
        <f>HYPERLINK("https%3A%2F%2Fwww.webofscience.com%2Fwos%2Fwoscc%2Ffull-record%2FWOS:000181092800004","View Full Record in Web of Science")</f>
        <v>View Full Record in Web of Science</v>
      </c>
    </row>
    <row r="702" spans="1:72" x14ac:dyDescent="0.15">
      <c r="A702" t="s">
        <v>552</v>
      </c>
      <c r="B702" t="s">
        <v>9843</v>
      </c>
      <c r="C702" t="s">
        <v>74</v>
      </c>
      <c r="D702" t="s">
        <v>74</v>
      </c>
      <c r="E702" t="s">
        <v>74</v>
      </c>
      <c r="F702" t="s">
        <v>9843</v>
      </c>
      <c r="G702" t="s">
        <v>74</v>
      </c>
      <c r="H702" t="s">
        <v>74</v>
      </c>
      <c r="I702" t="s">
        <v>9844</v>
      </c>
      <c r="J702" t="s">
        <v>555</v>
      </c>
      <c r="K702" t="s">
        <v>74</v>
      </c>
      <c r="L702" t="s">
        <v>74</v>
      </c>
      <c r="M702" t="s">
        <v>78</v>
      </c>
      <c r="N702" t="s">
        <v>775</v>
      </c>
      <c r="O702" t="s">
        <v>74</v>
      </c>
      <c r="P702" t="s">
        <v>74</v>
      </c>
      <c r="Q702" t="s">
        <v>74</v>
      </c>
      <c r="R702" t="s">
        <v>74</v>
      </c>
      <c r="S702" t="s">
        <v>74</v>
      </c>
      <c r="T702" t="s">
        <v>9845</v>
      </c>
      <c r="U702" t="s">
        <v>9846</v>
      </c>
      <c r="V702" t="s">
        <v>9847</v>
      </c>
      <c r="W702" t="s">
        <v>9848</v>
      </c>
      <c r="X702" t="s">
        <v>9849</v>
      </c>
      <c r="Y702" t="s">
        <v>9850</v>
      </c>
      <c r="Z702" t="s">
        <v>74</v>
      </c>
      <c r="AA702" t="s">
        <v>9851</v>
      </c>
      <c r="AB702" t="s">
        <v>9852</v>
      </c>
      <c r="AC702" t="s">
        <v>74</v>
      </c>
      <c r="AD702" t="s">
        <v>74</v>
      </c>
      <c r="AE702" t="s">
        <v>74</v>
      </c>
      <c r="AF702" t="s">
        <v>74</v>
      </c>
      <c r="AG702">
        <v>31</v>
      </c>
      <c r="AH702">
        <v>32</v>
      </c>
      <c r="AI702">
        <v>38</v>
      </c>
      <c r="AJ702">
        <v>1</v>
      </c>
      <c r="AK702">
        <v>11</v>
      </c>
      <c r="AL702" t="s">
        <v>560</v>
      </c>
      <c r="AM702" t="s">
        <v>561</v>
      </c>
      <c r="AN702" t="s">
        <v>3082</v>
      </c>
      <c r="AO702" t="s">
        <v>563</v>
      </c>
      <c r="AP702" t="s">
        <v>74</v>
      </c>
      <c r="AQ702" t="s">
        <v>74</v>
      </c>
      <c r="AR702" t="s">
        <v>564</v>
      </c>
      <c r="AS702" t="s">
        <v>565</v>
      </c>
      <c r="AT702" t="s">
        <v>9785</v>
      </c>
      <c r="AU702">
        <v>2002</v>
      </c>
      <c r="AV702">
        <v>14</v>
      </c>
      <c r="AW702">
        <v>3</v>
      </c>
      <c r="AX702" t="s">
        <v>74</v>
      </c>
      <c r="AY702" t="s">
        <v>74</v>
      </c>
      <c r="AZ702" t="s">
        <v>74</v>
      </c>
      <c r="BA702" t="s">
        <v>74</v>
      </c>
      <c r="BB702">
        <v>225</v>
      </c>
      <c r="BC702">
        <v>230</v>
      </c>
      <c r="BD702" t="s">
        <v>74</v>
      </c>
      <c r="BE702" t="s">
        <v>9853</v>
      </c>
      <c r="BF702" t="str">
        <f>HYPERLINK("http://dx.doi.org/10.1017/S0954102002000020","http://dx.doi.org/10.1017/S0954102002000020")</f>
        <v>http://dx.doi.org/10.1017/S0954102002000020</v>
      </c>
      <c r="BG702" t="s">
        <v>74</v>
      </c>
      <c r="BH702" t="s">
        <v>74</v>
      </c>
      <c r="BI702">
        <v>6</v>
      </c>
      <c r="BJ702" t="s">
        <v>568</v>
      </c>
      <c r="BK702" t="s">
        <v>569</v>
      </c>
      <c r="BL702" t="s">
        <v>570</v>
      </c>
      <c r="BM702" t="s">
        <v>9810</v>
      </c>
      <c r="BN702" t="s">
        <v>74</v>
      </c>
      <c r="BO702" t="s">
        <v>74</v>
      </c>
      <c r="BP702" t="s">
        <v>74</v>
      </c>
      <c r="BQ702" t="s">
        <v>74</v>
      </c>
      <c r="BR702" t="s">
        <v>98</v>
      </c>
      <c r="BS702" t="s">
        <v>9854</v>
      </c>
      <c r="BT702" t="str">
        <f>HYPERLINK("https%3A%2F%2Fwww.webofscience.com%2Fwos%2Fwoscc%2Ffull-record%2FWOS:000181092800005","View Full Record in Web of Science")</f>
        <v>View Full Record in Web of Science</v>
      </c>
    </row>
    <row r="703" spans="1:72" x14ac:dyDescent="0.15">
      <c r="A703" t="s">
        <v>552</v>
      </c>
      <c r="B703" t="s">
        <v>9855</v>
      </c>
      <c r="C703" t="s">
        <v>74</v>
      </c>
      <c r="D703" t="s">
        <v>74</v>
      </c>
      <c r="E703" t="s">
        <v>74</v>
      </c>
      <c r="F703" t="s">
        <v>9855</v>
      </c>
      <c r="G703" t="s">
        <v>74</v>
      </c>
      <c r="H703" t="s">
        <v>74</v>
      </c>
      <c r="I703" t="s">
        <v>9856</v>
      </c>
      <c r="J703" t="s">
        <v>555</v>
      </c>
      <c r="K703" t="s">
        <v>74</v>
      </c>
      <c r="L703" t="s">
        <v>74</v>
      </c>
      <c r="M703" t="s">
        <v>78</v>
      </c>
      <c r="N703" t="s">
        <v>775</v>
      </c>
      <c r="O703" t="s">
        <v>74</v>
      </c>
      <c r="P703" t="s">
        <v>74</v>
      </c>
      <c r="Q703" t="s">
        <v>74</v>
      </c>
      <c r="R703" t="s">
        <v>74</v>
      </c>
      <c r="S703" t="s">
        <v>74</v>
      </c>
      <c r="T703" t="s">
        <v>9857</v>
      </c>
      <c r="U703" t="s">
        <v>9858</v>
      </c>
      <c r="V703" t="s">
        <v>9859</v>
      </c>
      <c r="W703" t="s">
        <v>9860</v>
      </c>
      <c r="X703" t="s">
        <v>9861</v>
      </c>
      <c r="Y703" t="s">
        <v>9862</v>
      </c>
      <c r="Z703" t="s">
        <v>74</v>
      </c>
      <c r="AA703" t="s">
        <v>74</v>
      </c>
      <c r="AB703" t="s">
        <v>74</v>
      </c>
      <c r="AC703" t="s">
        <v>74</v>
      </c>
      <c r="AD703" t="s">
        <v>74</v>
      </c>
      <c r="AE703" t="s">
        <v>74</v>
      </c>
      <c r="AF703" t="s">
        <v>74</v>
      </c>
      <c r="AG703">
        <v>66</v>
      </c>
      <c r="AH703">
        <v>28</v>
      </c>
      <c r="AI703">
        <v>32</v>
      </c>
      <c r="AJ703">
        <v>1</v>
      </c>
      <c r="AK703">
        <v>8</v>
      </c>
      <c r="AL703" t="s">
        <v>560</v>
      </c>
      <c r="AM703" t="s">
        <v>561</v>
      </c>
      <c r="AN703" t="s">
        <v>603</v>
      </c>
      <c r="AO703" t="s">
        <v>563</v>
      </c>
      <c r="AP703" t="s">
        <v>640</v>
      </c>
      <c r="AQ703" t="s">
        <v>74</v>
      </c>
      <c r="AR703" t="s">
        <v>564</v>
      </c>
      <c r="AS703" t="s">
        <v>565</v>
      </c>
      <c r="AT703" t="s">
        <v>9785</v>
      </c>
      <c r="AU703">
        <v>2002</v>
      </c>
      <c r="AV703">
        <v>14</v>
      </c>
      <c r="AW703">
        <v>3</v>
      </c>
      <c r="AX703" t="s">
        <v>74</v>
      </c>
      <c r="AY703" t="s">
        <v>74</v>
      </c>
      <c r="AZ703" t="s">
        <v>74</v>
      </c>
      <c r="BA703" t="s">
        <v>74</v>
      </c>
      <c r="BB703">
        <v>231</v>
      </c>
      <c r="BC703">
        <v>243</v>
      </c>
      <c r="BD703" t="s">
        <v>74</v>
      </c>
      <c r="BE703" t="s">
        <v>9863</v>
      </c>
      <c r="BF703" t="str">
        <f>HYPERLINK("http://dx.doi.org/10.1017/S095410200200007X","http://dx.doi.org/10.1017/S095410200200007X")</f>
        <v>http://dx.doi.org/10.1017/S095410200200007X</v>
      </c>
      <c r="BG703" t="s">
        <v>74</v>
      </c>
      <c r="BH703" t="s">
        <v>74</v>
      </c>
      <c r="BI703">
        <v>13</v>
      </c>
      <c r="BJ703" t="s">
        <v>568</v>
      </c>
      <c r="BK703" t="s">
        <v>569</v>
      </c>
      <c r="BL703" t="s">
        <v>570</v>
      </c>
      <c r="BM703" t="s">
        <v>9810</v>
      </c>
      <c r="BN703" t="s">
        <v>74</v>
      </c>
      <c r="BO703" t="s">
        <v>74</v>
      </c>
      <c r="BP703" t="s">
        <v>74</v>
      </c>
      <c r="BQ703" t="s">
        <v>74</v>
      </c>
      <c r="BR703" t="s">
        <v>98</v>
      </c>
      <c r="BS703" t="s">
        <v>9864</v>
      </c>
      <c r="BT703" t="str">
        <f>HYPERLINK("https%3A%2F%2Fwww.webofscience.com%2Fwos%2Fwoscc%2Ffull-record%2FWOS:000181092800006","View Full Record in Web of Science")</f>
        <v>View Full Record in Web of Science</v>
      </c>
    </row>
    <row r="704" spans="1:72" x14ac:dyDescent="0.15">
      <c r="A704" t="s">
        <v>552</v>
      </c>
      <c r="B704" t="s">
        <v>9865</v>
      </c>
      <c r="C704" t="s">
        <v>74</v>
      </c>
      <c r="D704" t="s">
        <v>74</v>
      </c>
      <c r="E704" t="s">
        <v>74</v>
      </c>
      <c r="F704" t="s">
        <v>9865</v>
      </c>
      <c r="G704" t="s">
        <v>74</v>
      </c>
      <c r="H704" t="s">
        <v>74</v>
      </c>
      <c r="I704" t="s">
        <v>9866</v>
      </c>
      <c r="J704" t="s">
        <v>555</v>
      </c>
      <c r="K704" t="s">
        <v>74</v>
      </c>
      <c r="L704" t="s">
        <v>74</v>
      </c>
      <c r="M704" t="s">
        <v>78</v>
      </c>
      <c r="N704" t="s">
        <v>775</v>
      </c>
      <c r="O704" t="s">
        <v>74</v>
      </c>
      <c r="P704" t="s">
        <v>74</v>
      </c>
      <c r="Q704" t="s">
        <v>74</v>
      </c>
      <c r="R704" t="s">
        <v>74</v>
      </c>
      <c r="S704" t="s">
        <v>74</v>
      </c>
      <c r="T704" t="s">
        <v>9867</v>
      </c>
      <c r="U704" t="s">
        <v>9868</v>
      </c>
      <c r="V704" t="s">
        <v>9869</v>
      </c>
      <c r="W704" t="s">
        <v>9870</v>
      </c>
      <c r="X704" t="s">
        <v>9871</v>
      </c>
      <c r="Y704" t="s">
        <v>9872</v>
      </c>
      <c r="Z704" t="s">
        <v>74</v>
      </c>
      <c r="AA704" t="s">
        <v>9873</v>
      </c>
      <c r="AB704" t="s">
        <v>9874</v>
      </c>
      <c r="AC704" t="s">
        <v>74</v>
      </c>
      <c r="AD704" t="s">
        <v>74</v>
      </c>
      <c r="AE704" t="s">
        <v>74</v>
      </c>
      <c r="AF704" t="s">
        <v>74</v>
      </c>
      <c r="AG704">
        <v>30</v>
      </c>
      <c r="AH704">
        <v>42</v>
      </c>
      <c r="AI704">
        <v>47</v>
      </c>
      <c r="AJ704">
        <v>1</v>
      </c>
      <c r="AK704">
        <v>10</v>
      </c>
      <c r="AL704" t="s">
        <v>560</v>
      </c>
      <c r="AM704" t="s">
        <v>561</v>
      </c>
      <c r="AN704" t="s">
        <v>603</v>
      </c>
      <c r="AO704" t="s">
        <v>563</v>
      </c>
      <c r="AP704" t="s">
        <v>74</v>
      </c>
      <c r="AQ704" t="s">
        <v>74</v>
      </c>
      <c r="AR704" t="s">
        <v>564</v>
      </c>
      <c r="AS704" t="s">
        <v>565</v>
      </c>
      <c r="AT704" t="s">
        <v>9785</v>
      </c>
      <c r="AU704">
        <v>2002</v>
      </c>
      <c r="AV704">
        <v>14</v>
      </c>
      <c r="AW704">
        <v>3</v>
      </c>
      <c r="AX704" t="s">
        <v>74</v>
      </c>
      <c r="AY704" t="s">
        <v>74</v>
      </c>
      <c r="AZ704" t="s">
        <v>74</v>
      </c>
      <c r="BA704" t="s">
        <v>74</v>
      </c>
      <c r="BB704">
        <v>244</v>
      </c>
      <c r="BC704">
        <v>252</v>
      </c>
      <c r="BD704" t="s">
        <v>74</v>
      </c>
      <c r="BE704" t="s">
        <v>9875</v>
      </c>
      <c r="BF704" t="str">
        <f>HYPERLINK("http://dx.doi.org/10.1017/S0954102002000093","http://dx.doi.org/10.1017/S0954102002000093")</f>
        <v>http://dx.doi.org/10.1017/S0954102002000093</v>
      </c>
      <c r="BG704" t="s">
        <v>74</v>
      </c>
      <c r="BH704" t="s">
        <v>74</v>
      </c>
      <c r="BI704">
        <v>9</v>
      </c>
      <c r="BJ704" t="s">
        <v>568</v>
      </c>
      <c r="BK704" t="s">
        <v>569</v>
      </c>
      <c r="BL704" t="s">
        <v>570</v>
      </c>
      <c r="BM704" t="s">
        <v>9810</v>
      </c>
      <c r="BN704" t="s">
        <v>74</v>
      </c>
      <c r="BO704" t="s">
        <v>74</v>
      </c>
      <c r="BP704" t="s">
        <v>74</v>
      </c>
      <c r="BQ704" t="s">
        <v>74</v>
      </c>
      <c r="BR704" t="s">
        <v>98</v>
      </c>
      <c r="BS704" t="s">
        <v>9876</v>
      </c>
      <c r="BT704" t="str">
        <f>HYPERLINK("https%3A%2F%2Fwww.webofscience.com%2Fwos%2Fwoscc%2Ffull-record%2FWOS:000181092800007","View Full Record in Web of Science")</f>
        <v>View Full Record in Web of Science</v>
      </c>
    </row>
    <row r="705" spans="1:72" x14ac:dyDescent="0.15">
      <c r="A705" t="s">
        <v>552</v>
      </c>
      <c r="B705" t="s">
        <v>9877</v>
      </c>
      <c r="C705" t="s">
        <v>74</v>
      </c>
      <c r="D705" t="s">
        <v>74</v>
      </c>
      <c r="E705" t="s">
        <v>74</v>
      </c>
      <c r="F705" t="s">
        <v>9877</v>
      </c>
      <c r="G705" t="s">
        <v>74</v>
      </c>
      <c r="H705" t="s">
        <v>74</v>
      </c>
      <c r="I705" t="s">
        <v>9878</v>
      </c>
      <c r="J705" t="s">
        <v>555</v>
      </c>
      <c r="K705" t="s">
        <v>74</v>
      </c>
      <c r="L705" t="s">
        <v>74</v>
      </c>
      <c r="M705" t="s">
        <v>78</v>
      </c>
      <c r="N705" t="s">
        <v>775</v>
      </c>
      <c r="O705" t="s">
        <v>74</v>
      </c>
      <c r="P705" t="s">
        <v>74</v>
      </c>
      <c r="Q705" t="s">
        <v>74</v>
      </c>
      <c r="R705" t="s">
        <v>74</v>
      </c>
      <c r="S705" t="s">
        <v>74</v>
      </c>
      <c r="T705" t="s">
        <v>9879</v>
      </c>
      <c r="U705" t="s">
        <v>9880</v>
      </c>
      <c r="V705" t="s">
        <v>9881</v>
      </c>
      <c r="W705" t="s">
        <v>9882</v>
      </c>
      <c r="X705" t="s">
        <v>9883</v>
      </c>
      <c r="Y705" t="s">
        <v>6498</v>
      </c>
      <c r="Z705" t="s">
        <v>9884</v>
      </c>
      <c r="AA705" t="s">
        <v>9885</v>
      </c>
      <c r="AB705" t="s">
        <v>9886</v>
      </c>
      <c r="AC705" t="s">
        <v>74</v>
      </c>
      <c r="AD705" t="s">
        <v>74</v>
      </c>
      <c r="AE705" t="s">
        <v>74</v>
      </c>
      <c r="AF705" t="s">
        <v>74</v>
      </c>
      <c r="AG705">
        <v>39</v>
      </c>
      <c r="AH705">
        <v>31</v>
      </c>
      <c r="AI705">
        <v>33</v>
      </c>
      <c r="AJ705">
        <v>0</v>
      </c>
      <c r="AK705">
        <v>2</v>
      </c>
      <c r="AL705" t="s">
        <v>560</v>
      </c>
      <c r="AM705" t="s">
        <v>561</v>
      </c>
      <c r="AN705" t="s">
        <v>603</v>
      </c>
      <c r="AO705" t="s">
        <v>563</v>
      </c>
      <c r="AP705" t="s">
        <v>640</v>
      </c>
      <c r="AQ705" t="s">
        <v>74</v>
      </c>
      <c r="AR705" t="s">
        <v>564</v>
      </c>
      <c r="AS705" t="s">
        <v>565</v>
      </c>
      <c r="AT705" t="s">
        <v>9785</v>
      </c>
      <c r="AU705">
        <v>2002</v>
      </c>
      <c r="AV705">
        <v>14</v>
      </c>
      <c r="AW705">
        <v>3</v>
      </c>
      <c r="AX705" t="s">
        <v>74</v>
      </c>
      <c r="AY705" t="s">
        <v>74</v>
      </c>
      <c r="AZ705" t="s">
        <v>74</v>
      </c>
      <c r="BA705" t="s">
        <v>74</v>
      </c>
      <c r="BB705">
        <v>253</v>
      </c>
      <c r="BC705">
        <v>261</v>
      </c>
      <c r="BD705" t="s">
        <v>74</v>
      </c>
      <c r="BE705" t="s">
        <v>9887</v>
      </c>
      <c r="BF705" t="str">
        <f>HYPERLINK("http://dx.doi.org/10.1017/S095410200200010X","http://dx.doi.org/10.1017/S095410200200010X")</f>
        <v>http://dx.doi.org/10.1017/S095410200200010X</v>
      </c>
      <c r="BG705" t="s">
        <v>74</v>
      </c>
      <c r="BH705" t="s">
        <v>74</v>
      </c>
      <c r="BI705">
        <v>9</v>
      </c>
      <c r="BJ705" t="s">
        <v>568</v>
      </c>
      <c r="BK705" t="s">
        <v>569</v>
      </c>
      <c r="BL705" t="s">
        <v>570</v>
      </c>
      <c r="BM705" t="s">
        <v>9810</v>
      </c>
      <c r="BN705" t="s">
        <v>74</v>
      </c>
      <c r="BO705" t="s">
        <v>74</v>
      </c>
      <c r="BP705" t="s">
        <v>74</v>
      </c>
      <c r="BQ705" t="s">
        <v>74</v>
      </c>
      <c r="BR705" t="s">
        <v>98</v>
      </c>
      <c r="BS705" t="s">
        <v>9888</v>
      </c>
      <c r="BT705" t="str">
        <f>HYPERLINK("https%3A%2F%2Fwww.webofscience.com%2Fwos%2Fwoscc%2Ffull-record%2FWOS:000181092800008","View Full Record in Web of Science")</f>
        <v>View Full Record in Web of Science</v>
      </c>
    </row>
    <row r="706" spans="1:72" x14ac:dyDescent="0.15">
      <c r="A706" t="s">
        <v>552</v>
      </c>
      <c r="B706" t="s">
        <v>9889</v>
      </c>
      <c r="C706" t="s">
        <v>74</v>
      </c>
      <c r="D706" t="s">
        <v>74</v>
      </c>
      <c r="E706" t="s">
        <v>74</v>
      </c>
      <c r="F706" t="s">
        <v>9889</v>
      </c>
      <c r="G706" t="s">
        <v>74</v>
      </c>
      <c r="H706" t="s">
        <v>74</v>
      </c>
      <c r="I706" t="s">
        <v>9890</v>
      </c>
      <c r="J706" t="s">
        <v>555</v>
      </c>
      <c r="K706" t="s">
        <v>74</v>
      </c>
      <c r="L706" t="s">
        <v>74</v>
      </c>
      <c r="M706" t="s">
        <v>78</v>
      </c>
      <c r="N706" t="s">
        <v>775</v>
      </c>
      <c r="O706" t="s">
        <v>74</v>
      </c>
      <c r="P706" t="s">
        <v>74</v>
      </c>
      <c r="Q706" t="s">
        <v>74</v>
      </c>
      <c r="R706" t="s">
        <v>74</v>
      </c>
      <c r="S706" t="s">
        <v>74</v>
      </c>
      <c r="T706" t="s">
        <v>9891</v>
      </c>
      <c r="U706" t="s">
        <v>9892</v>
      </c>
      <c r="V706" t="s">
        <v>9893</v>
      </c>
      <c r="W706" t="s">
        <v>9894</v>
      </c>
      <c r="X706" t="s">
        <v>9895</v>
      </c>
      <c r="Y706" t="s">
        <v>9896</v>
      </c>
      <c r="Z706" t="s">
        <v>74</v>
      </c>
      <c r="AA706" t="s">
        <v>74</v>
      </c>
      <c r="AB706" t="s">
        <v>9897</v>
      </c>
      <c r="AC706" t="s">
        <v>74</v>
      </c>
      <c r="AD706" t="s">
        <v>74</v>
      </c>
      <c r="AE706" t="s">
        <v>74</v>
      </c>
      <c r="AF706" t="s">
        <v>74</v>
      </c>
      <c r="AG706">
        <v>22</v>
      </c>
      <c r="AH706">
        <v>38</v>
      </c>
      <c r="AI706">
        <v>46</v>
      </c>
      <c r="AJ706">
        <v>0</v>
      </c>
      <c r="AK706">
        <v>2</v>
      </c>
      <c r="AL706" t="s">
        <v>560</v>
      </c>
      <c r="AM706" t="s">
        <v>561</v>
      </c>
      <c r="AN706" t="s">
        <v>3082</v>
      </c>
      <c r="AO706" t="s">
        <v>563</v>
      </c>
      <c r="AP706" t="s">
        <v>74</v>
      </c>
      <c r="AQ706" t="s">
        <v>74</v>
      </c>
      <c r="AR706" t="s">
        <v>564</v>
      </c>
      <c r="AS706" t="s">
        <v>565</v>
      </c>
      <c r="AT706" t="s">
        <v>9785</v>
      </c>
      <c r="AU706">
        <v>2002</v>
      </c>
      <c r="AV706">
        <v>14</v>
      </c>
      <c r="AW706">
        <v>3</v>
      </c>
      <c r="AX706" t="s">
        <v>74</v>
      </c>
      <c r="AY706" t="s">
        <v>74</v>
      </c>
      <c r="AZ706" t="s">
        <v>74</v>
      </c>
      <c r="BA706" t="s">
        <v>74</v>
      </c>
      <c r="BB706">
        <v>263</v>
      </c>
      <c r="BC706">
        <v>269</v>
      </c>
      <c r="BD706" t="s">
        <v>74</v>
      </c>
      <c r="BE706" t="s">
        <v>9898</v>
      </c>
      <c r="BF706" t="str">
        <f>HYPERLINK("http://dx.doi.org/10.1017/S0954102002000081","http://dx.doi.org/10.1017/S0954102002000081")</f>
        <v>http://dx.doi.org/10.1017/S0954102002000081</v>
      </c>
      <c r="BG706" t="s">
        <v>74</v>
      </c>
      <c r="BH706" t="s">
        <v>74</v>
      </c>
      <c r="BI706">
        <v>7</v>
      </c>
      <c r="BJ706" t="s">
        <v>568</v>
      </c>
      <c r="BK706" t="s">
        <v>569</v>
      </c>
      <c r="BL706" t="s">
        <v>570</v>
      </c>
      <c r="BM706" t="s">
        <v>9810</v>
      </c>
      <c r="BN706" t="s">
        <v>74</v>
      </c>
      <c r="BO706" t="s">
        <v>74</v>
      </c>
      <c r="BP706" t="s">
        <v>74</v>
      </c>
      <c r="BQ706" t="s">
        <v>74</v>
      </c>
      <c r="BR706" t="s">
        <v>98</v>
      </c>
      <c r="BS706" t="s">
        <v>9899</v>
      </c>
      <c r="BT706" t="str">
        <f>HYPERLINK("https%3A%2F%2Fwww.webofscience.com%2Fwos%2Fwoscc%2Ffull-record%2FWOS:000181092800009","View Full Record in Web of Science")</f>
        <v>View Full Record in Web of Science</v>
      </c>
    </row>
    <row r="707" spans="1:72" x14ac:dyDescent="0.15">
      <c r="A707" t="s">
        <v>552</v>
      </c>
      <c r="B707" t="s">
        <v>9900</v>
      </c>
      <c r="C707" t="s">
        <v>74</v>
      </c>
      <c r="D707" t="s">
        <v>74</v>
      </c>
      <c r="E707" t="s">
        <v>74</v>
      </c>
      <c r="F707" t="s">
        <v>9900</v>
      </c>
      <c r="G707" t="s">
        <v>74</v>
      </c>
      <c r="H707" t="s">
        <v>74</v>
      </c>
      <c r="I707" t="s">
        <v>9901</v>
      </c>
      <c r="J707" t="s">
        <v>555</v>
      </c>
      <c r="K707" t="s">
        <v>74</v>
      </c>
      <c r="L707" t="s">
        <v>74</v>
      </c>
      <c r="M707" t="s">
        <v>78</v>
      </c>
      <c r="N707" t="s">
        <v>775</v>
      </c>
      <c r="O707" t="s">
        <v>74</v>
      </c>
      <c r="P707" t="s">
        <v>74</v>
      </c>
      <c r="Q707" t="s">
        <v>74</v>
      </c>
      <c r="R707" t="s">
        <v>74</v>
      </c>
      <c r="S707" t="s">
        <v>74</v>
      </c>
      <c r="T707" t="s">
        <v>9902</v>
      </c>
      <c r="U707" t="s">
        <v>9903</v>
      </c>
      <c r="V707" t="s">
        <v>9904</v>
      </c>
      <c r="W707" t="s">
        <v>9905</v>
      </c>
      <c r="X707" t="s">
        <v>9906</v>
      </c>
      <c r="Y707" t="s">
        <v>9907</v>
      </c>
      <c r="Z707" t="s">
        <v>74</v>
      </c>
      <c r="AA707" t="s">
        <v>9908</v>
      </c>
      <c r="AB707" t="s">
        <v>9909</v>
      </c>
      <c r="AC707" t="s">
        <v>74</v>
      </c>
      <c r="AD707" t="s">
        <v>74</v>
      </c>
      <c r="AE707" t="s">
        <v>74</v>
      </c>
      <c r="AF707" t="s">
        <v>74</v>
      </c>
      <c r="AG707">
        <v>25</v>
      </c>
      <c r="AH707">
        <v>29</v>
      </c>
      <c r="AI707">
        <v>32</v>
      </c>
      <c r="AJ707">
        <v>1</v>
      </c>
      <c r="AK707">
        <v>6</v>
      </c>
      <c r="AL707" t="s">
        <v>560</v>
      </c>
      <c r="AM707" t="s">
        <v>561</v>
      </c>
      <c r="AN707" t="s">
        <v>3082</v>
      </c>
      <c r="AO707" t="s">
        <v>563</v>
      </c>
      <c r="AP707" t="s">
        <v>74</v>
      </c>
      <c r="AQ707" t="s">
        <v>74</v>
      </c>
      <c r="AR707" t="s">
        <v>564</v>
      </c>
      <c r="AS707" t="s">
        <v>565</v>
      </c>
      <c r="AT707" t="s">
        <v>9785</v>
      </c>
      <c r="AU707">
        <v>2002</v>
      </c>
      <c r="AV707">
        <v>14</v>
      </c>
      <c r="AW707">
        <v>3</v>
      </c>
      <c r="AX707" t="s">
        <v>74</v>
      </c>
      <c r="AY707" t="s">
        <v>74</v>
      </c>
      <c r="AZ707" t="s">
        <v>74</v>
      </c>
      <c r="BA707" t="s">
        <v>74</v>
      </c>
      <c r="BB707">
        <v>271</v>
      </c>
      <c r="BC707">
        <v>277</v>
      </c>
      <c r="BD707" t="s">
        <v>74</v>
      </c>
      <c r="BE707" t="s">
        <v>9910</v>
      </c>
      <c r="BF707" t="str">
        <f>HYPERLINK("http://dx.doi.org/10.1017/S0954102002000068","http://dx.doi.org/10.1017/S0954102002000068")</f>
        <v>http://dx.doi.org/10.1017/S0954102002000068</v>
      </c>
      <c r="BG707" t="s">
        <v>74</v>
      </c>
      <c r="BH707" t="s">
        <v>74</v>
      </c>
      <c r="BI707">
        <v>7</v>
      </c>
      <c r="BJ707" t="s">
        <v>568</v>
      </c>
      <c r="BK707" t="s">
        <v>569</v>
      </c>
      <c r="BL707" t="s">
        <v>570</v>
      </c>
      <c r="BM707" t="s">
        <v>9810</v>
      </c>
      <c r="BN707" t="s">
        <v>74</v>
      </c>
      <c r="BO707" t="s">
        <v>74</v>
      </c>
      <c r="BP707" t="s">
        <v>74</v>
      </c>
      <c r="BQ707" t="s">
        <v>74</v>
      </c>
      <c r="BR707" t="s">
        <v>98</v>
      </c>
      <c r="BS707" t="s">
        <v>9911</v>
      </c>
      <c r="BT707" t="str">
        <f>HYPERLINK("https%3A%2F%2Fwww.webofscience.com%2Fwos%2Fwoscc%2Ffull-record%2FWOS:000181092800010","View Full Record in Web of Science")</f>
        <v>View Full Record in Web of Science</v>
      </c>
    </row>
    <row r="708" spans="1:72" x14ac:dyDescent="0.15">
      <c r="A708" t="s">
        <v>552</v>
      </c>
      <c r="B708" t="s">
        <v>9912</v>
      </c>
      <c r="C708" t="s">
        <v>74</v>
      </c>
      <c r="D708" t="s">
        <v>74</v>
      </c>
      <c r="E708" t="s">
        <v>74</v>
      </c>
      <c r="F708" t="s">
        <v>9912</v>
      </c>
      <c r="G708" t="s">
        <v>74</v>
      </c>
      <c r="H708" t="s">
        <v>74</v>
      </c>
      <c r="I708" t="s">
        <v>9913</v>
      </c>
      <c r="J708" t="s">
        <v>555</v>
      </c>
      <c r="K708" t="s">
        <v>74</v>
      </c>
      <c r="L708" t="s">
        <v>74</v>
      </c>
      <c r="M708" t="s">
        <v>78</v>
      </c>
      <c r="N708" t="s">
        <v>775</v>
      </c>
      <c r="O708" t="s">
        <v>74</v>
      </c>
      <c r="P708" t="s">
        <v>74</v>
      </c>
      <c r="Q708" t="s">
        <v>74</v>
      </c>
      <c r="R708" t="s">
        <v>74</v>
      </c>
      <c r="S708" t="s">
        <v>74</v>
      </c>
      <c r="T708" t="s">
        <v>9914</v>
      </c>
      <c r="U708" t="s">
        <v>9915</v>
      </c>
      <c r="V708" t="s">
        <v>9916</v>
      </c>
      <c r="W708" t="s">
        <v>9917</v>
      </c>
      <c r="X708" t="s">
        <v>2667</v>
      </c>
      <c r="Y708" t="s">
        <v>9918</v>
      </c>
      <c r="Z708" t="s">
        <v>74</v>
      </c>
      <c r="AA708" t="s">
        <v>9919</v>
      </c>
      <c r="AB708" t="s">
        <v>9920</v>
      </c>
      <c r="AC708" t="s">
        <v>74</v>
      </c>
      <c r="AD708" t="s">
        <v>74</v>
      </c>
      <c r="AE708" t="s">
        <v>74</v>
      </c>
      <c r="AF708" t="s">
        <v>74</v>
      </c>
      <c r="AG708">
        <v>17</v>
      </c>
      <c r="AH708">
        <v>25</v>
      </c>
      <c r="AI708">
        <v>29</v>
      </c>
      <c r="AJ708">
        <v>1</v>
      </c>
      <c r="AK708">
        <v>11</v>
      </c>
      <c r="AL708" t="s">
        <v>560</v>
      </c>
      <c r="AM708" t="s">
        <v>561</v>
      </c>
      <c r="AN708" t="s">
        <v>603</v>
      </c>
      <c r="AO708" t="s">
        <v>563</v>
      </c>
      <c r="AP708" t="s">
        <v>640</v>
      </c>
      <c r="AQ708" t="s">
        <v>74</v>
      </c>
      <c r="AR708" t="s">
        <v>564</v>
      </c>
      <c r="AS708" t="s">
        <v>565</v>
      </c>
      <c r="AT708" t="s">
        <v>9785</v>
      </c>
      <c r="AU708">
        <v>2002</v>
      </c>
      <c r="AV708">
        <v>14</v>
      </c>
      <c r="AW708">
        <v>3</v>
      </c>
      <c r="AX708" t="s">
        <v>74</v>
      </c>
      <c r="AY708" t="s">
        <v>74</v>
      </c>
      <c r="AZ708" t="s">
        <v>74</v>
      </c>
      <c r="BA708" t="s">
        <v>74</v>
      </c>
      <c r="BB708">
        <v>278</v>
      </c>
      <c r="BC708">
        <v>287</v>
      </c>
      <c r="BD708" t="s">
        <v>74</v>
      </c>
      <c r="BE708" t="s">
        <v>9921</v>
      </c>
      <c r="BF708" t="str">
        <f>HYPERLINK("http://dx.doi.org/10.1017/S0954102002000032","http://dx.doi.org/10.1017/S0954102002000032")</f>
        <v>http://dx.doi.org/10.1017/S0954102002000032</v>
      </c>
      <c r="BG708" t="s">
        <v>74</v>
      </c>
      <c r="BH708" t="s">
        <v>74</v>
      </c>
      <c r="BI708">
        <v>10</v>
      </c>
      <c r="BJ708" t="s">
        <v>568</v>
      </c>
      <c r="BK708" t="s">
        <v>569</v>
      </c>
      <c r="BL708" t="s">
        <v>570</v>
      </c>
      <c r="BM708" t="s">
        <v>9810</v>
      </c>
      <c r="BN708" t="s">
        <v>74</v>
      </c>
      <c r="BO708" t="s">
        <v>74</v>
      </c>
      <c r="BP708" t="s">
        <v>74</v>
      </c>
      <c r="BQ708" t="s">
        <v>74</v>
      </c>
      <c r="BR708" t="s">
        <v>98</v>
      </c>
      <c r="BS708" t="s">
        <v>9922</v>
      </c>
      <c r="BT708" t="str">
        <f>HYPERLINK("https%3A%2F%2Fwww.webofscience.com%2Fwos%2Fwoscc%2Ffull-record%2FWOS:000181092800011","View Full Record in Web of Science")</f>
        <v>View Full Record in Web of Science</v>
      </c>
    </row>
    <row r="709" spans="1:72" x14ac:dyDescent="0.15">
      <c r="A709" t="s">
        <v>552</v>
      </c>
      <c r="B709" t="s">
        <v>9923</v>
      </c>
      <c r="C709" t="s">
        <v>74</v>
      </c>
      <c r="D709" t="s">
        <v>74</v>
      </c>
      <c r="E709" t="s">
        <v>74</v>
      </c>
      <c r="F709" t="s">
        <v>9923</v>
      </c>
      <c r="G709" t="s">
        <v>74</v>
      </c>
      <c r="H709" t="s">
        <v>74</v>
      </c>
      <c r="I709" t="s">
        <v>9924</v>
      </c>
      <c r="J709" t="s">
        <v>8596</v>
      </c>
      <c r="K709" t="s">
        <v>74</v>
      </c>
      <c r="L709" t="s">
        <v>74</v>
      </c>
      <c r="M709" t="s">
        <v>78</v>
      </c>
      <c r="N709" t="s">
        <v>775</v>
      </c>
      <c r="O709" t="s">
        <v>74</v>
      </c>
      <c r="P709" t="s">
        <v>74</v>
      </c>
      <c r="Q709" t="s">
        <v>74</v>
      </c>
      <c r="R709" t="s">
        <v>74</v>
      </c>
      <c r="S709" t="s">
        <v>74</v>
      </c>
      <c r="T709" t="s">
        <v>74</v>
      </c>
      <c r="U709" t="s">
        <v>9925</v>
      </c>
      <c r="V709" t="s">
        <v>9926</v>
      </c>
      <c r="W709" t="s">
        <v>9927</v>
      </c>
      <c r="X709" t="s">
        <v>9928</v>
      </c>
      <c r="Y709" t="s">
        <v>9929</v>
      </c>
      <c r="Z709" t="s">
        <v>9930</v>
      </c>
      <c r="AA709" t="s">
        <v>9931</v>
      </c>
      <c r="AB709" t="s">
        <v>9932</v>
      </c>
      <c r="AC709" t="s">
        <v>74</v>
      </c>
      <c r="AD709" t="s">
        <v>74</v>
      </c>
      <c r="AE709" t="s">
        <v>74</v>
      </c>
      <c r="AF709" t="s">
        <v>74</v>
      </c>
      <c r="AG709">
        <v>31</v>
      </c>
      <c r="AH709">
        <v>159</v>
      </c>
      <c r="AI709">
        <v>179</v>
      </c>
      <c r="AJ709">
        <v>1</v>
      </c>
      <c r="AK709">
        <v>16</v>
      </c>
      <c r="AL709" t="s">
        <v>6252</v>
      </c>
      <c r="AM709" t="s">
        <v>388</v>
      </c>
      <c r="AN709" t="s">
        <v>6253</v>
      </c>
      <c r="AO709" t="s">
        <v>8605</v>
      </c>
      <c r="AP709" t="s">
        <v>8606</v>
      </c>
      <c r="AQ709" t="s">
        <v>74</v>
      </c>
      <c r="AR709" t="s">
        <v>8607</v>
      </c>
      <c r="AS709" t="s">
        <v>8608</v>
      </c>
      <c r="AT709" t="s">
        <v>9785</v>
      </c>
      <c r="AU709">
        <v>2002</v>
      </c>
      <c r="AV709">
        <v>68</v>
      </c>
      <c r="AW709">
        <v>9</v>
      </c>
      <c r="AX709" t="s">
        <v>74</v>
      </c>
      <c r="AY709" t="s">
        <v>74</v>
      </c>
      <c r="AZ709" t="s">
        <v>74</v>
      </c>
      <c r="BA709" t="s">
        <v>74</v>
      </c>
      <c r="BB709">
        <v>4554</v>
      </c>
      <c r="BC709">
        <v>4558</v>
      </c>
      <c r="BD709" t="s">
        <v>74</v>
      </c>
      <c r="BE709" t="s">
        <v>9933</v>
      </c>
      <c r="BF709" t="str">
        <f>HYPERLINK("http://dx.doi.org/10.1128/AEM.68.9.4554-4558.2002","http://dx.doi.org/10.1128/AEM.68.9.4554-4558.2002")</f>
        <v>http://dx.doi.org/10.1128/AEM.68.9.4554-4558.2002</v>
      </c>
      <c r="BG709" t="s">
        <v>74</v>
      </c>
      <c r="BH709" t="s">
        <v>74</v>
      </c>
      <c r="BI709">
        <v>5</v>
      </c>
      <c r="BJ709" t="s">
        <v>2587</v>
      </c>
      <c r="BK709" t="s">
        <v>569</v>
      </c>
      <c r="BL709" t="s">
        <v>2587</v>
      </c>
      <c r="BM709" t="s">
        <v>9934</v>
      </c>
      <c r="BN709">
        <v>12200313</v>
      </c>
      <c r="BO709" t="s">
        <v>794</v>
      </c>
      <c r="BP709" t="s">
        <v>74</v>
      </c>
      <c r="BQ709" t="s">
        <v>74</v>
      </c>
      <c r="BR709" t="s">
        <v>98</v>
      </c>
      <c r="BS709" t="s">
        <v>9935</v>
      </c>
      <c r="BT709" t="str">
        <f>HYPERLINK("https%3A%2F%2Fwww.webofscience.com%2Fwos%2Fwoscc%2Ffull-record%2FWOS:000177718000052","View Full Record in Web of Science")</f>
        <v>View Full Record in Web of Science</v>
      </c>
    </row>
    <row r="710" spans="1:72" x14ac:dyDescent="0.15">
      <c r="A710" t="s">
        <v>552</v>
      </c>
      <c r="B710" t="s">
        <v>9936</v>
      </c>
      <c r="C710" t="s">
        <v>74</v>
      </c>
      <c r="D710" t="s">
        <v>74</v>
      </c>
      <c r="E710" t="s">
        <v>74</v>
      </c>
      <c r="F710" t="s">
        <v>9936</v>
      </c>
      <c r="G710" t="s">
        <v>74</v>
      </c>
      <c r="H710" t="s">
        <v>74</v>
      </c>
      <c r="I710" t="s">
        <v>9937</v>
      </c>
      <c r="J710" t="s">
        <v>8312</v>
      </c>
      <c r="K710" t="s">
        <v>74</v>
      </c>
      <c r="L710" t="s">
        <v>74</v>
      </c>
      <c r="M710" t="s">
        <v>78</v>
      </c>
      <c r="N710" t="s">
        <v>775</v>
      </c>
      <c r="O710" t="s">
        <v>74</v>
      </c>
      <c r="P710" t="s">
        <v>74</v>
      </c>
      <c r="Q710" t="s">
        <v>74</v>
      </c>
      <c r="R710" t="s">
        <v>74</v>
      </c>
      <c r="S710" t="s">
        <v>74</v>
      </c>
      <c r="T710" t="s">
        <v>9938</v>
      </c>
      <c r="U710" t="s">
        <v>9939</v>
      </c>
      <c r="V710" t="s">
        <v>9940</v>
      </c>
      <c r="W710" t="s">
        <v>9941</v>
      </c>
      <c r="X710" t="s">
        <v>9942</v>
      </c>
      <c r="Y710" t="s">
        <v>9943</v>
      </c>
      <c r="Z710" t="s">
        <v>9944</v>
      </c>
      <c r="AA710" t="s">
        <v>9945</v>
      </c>
      <c r="AB710" t="s">
        <v>9946</v>
      </c>
      <c r="AC710" t="s">
        <v>74</v>
      </c>
      <c r="AD710" t="s">
        <v>74</v>
      </c>
      <c r="AE710" t="s">
        <v>74</v>
      </c>
      <c r="AF710" t="s">
        <v>74</v>
      </c>
      <c r="AG710">
        <v>32</v>
      </c>
      <c r="AH710">
        <v>25</v>
      </c>
      <c r="AI710">
        <v>28</v>
      </c>
      <c r="AJ710">
        <v>0</v>
      </c>
      <c r="AK710">
        <v>13</v>
      </c>
      <c r="AL710" t="s">
        <v>3209</v>
      </c>
      <c r="AM710" t="s">
        <v>3210</v>
      </c>
      <c r="AN710" t="s">
        <v>3211</v>
      </c>
      <c r="AO710" t="s">
        <v>8320</v>
      </c>
      <c r="AP710" t="s">
        <v>8321</v>
      </c>
      <c r="AQ710" t="s">
        <v>74</v>
      </c>
      <c r="AR710" t="s">
        <v>8322</v>
      </c>
      <c r="AS710" t="s">
        <v>8323</v>
      </c>
      <c r="AT710" t="s">
        <v>9785</v>
      </c>
      <c r="AU710">
        <v>2002</v>
      </c>
      <c r="AV710">
        <v>29</v>
      </c>
      <c r="AW710">
        <v>2</v>
      </c>
      <c r="AX710" t="s">
        <v>74</v>
      </c>
      <c r="AY710" t="s">
        <v>74</v>
      </c>
      <c r="AZ710" t="s">
        <v>74</v>
      </c>
      <c r="BA710" t="s">
        <v>74</v>
      </c>
      <c r="BB710">
        <v>161</v>
      </c>
      <c r="BC710">
        <v>172</v>
      </c>
      <c r="BD710" t="s">
        <v>74</v>
      </c>
      <c r="BE710" t="s">
        <v>9947</v>
      </c>
      <c r="BF710" t="str">
        <f>HYPERLINK("http://dx.doi.org/10.3354/ame029161","http://dx.doi.org/10.3354/ame029161")</f>
        <v>http://dx.doi.org/10.3354/ame029161</v>
      </c>
      <c r="BG710" t="s">
        <v>74</v>
      </c>
      <c r="BH710" t="s">
        <v>74</v>
      </c>
      <c r="BI710">
        <v>12</v>
      </c>
      <c r="BJ710" t="s">
        <v>8326</v>
      </c>
      <c r="BK710" t="s">
        <v>569</v>
      </c>
      <c r="BL710" t="s">
        <v>8327</v>
      </c>
      <c r="BM710" t="s">
        <v>9948</v>
      </c>
      <c r="BN710" t="s">
        <v>74</v>
      </c>
      <c r="BO710" t="s">
        <v>572</v>
      </c>
      <c r="BP710" t="s">
        <v>74</v>
      </c>
      <c r="BQ710" t="s">
        <v>74</v>
      </c>
      <c r="BR710" t="s">
        <v>98</v>
      </c>
      <c r="BS710" t="s">
        <v>9949</v>
      </c>
      <c r="BT710" t="str">
        <f>HYPERLINK("https%3A%2F%2Fwww.webofscience.com%2Fwos%2Fwoscc%2Ffull-record%2FWOS:000178397900005","View Full Record in Web of Science")</f>
        <v>View Full Record in Web of Science</v>
      </c>
    </row>
    <row r="711" spans="1:72" x14ac:dyDescent="0.15">
      <c r="A711" t="s">
        <v>552</v>
      </c>
      <c r="B711" t="s">
        <v>9950</v>
      </c>
      <c r="C711" t="s">
        <v>74</v>
      </c>
      <c r="D711" t="s">
        <v>74</v>
      </c>
      <c r="E711" t="s">
        <v>74</v>
      </c>
      <c r="F711" t="s">
        <v>9950</v>
      </c>
      <c r="G711" t="s">
        <v>74</v>
      </c>
      <c r="H711" t="s">
        <v>74</v>
      </c>
      <c r="I711" t="s">
        <v>9951</v>
      </c>
      <c r="J711" t="s">
        <v>9952</v>
      </c>
      <c r="K711" t="s">
        <v>74</v>
      </c>
      <c r="L711" t="s">
        <v>74</v>
      </c>
      <c r="M711" t="s">
        <v>78</v>
      </c>
      <c r="N711" t="s">
        <v>775</v>
      </c>
      <c r="O711" t="s">
        <v>74</v>
      </c>
      <c r="P711" t="s">
        <v>74</v>
      </c>
      <c r="Q711" t="s">
        <v>74</v>
      </c>
      <c r="R711" t="s">
        <v>74</v>
      </c>
      <c r="S711" t="s">
        <v>74</v>
      </c>
      <c r="T711" t="s">
        <v>74</v>
      </c>
      <c r="U711" t="s">
        <v>9953</v>
      </c>
      <c r="V711" t="s">
        <v>9954</v>
      </c>
      <c r="W711" t="s">
        <v>9955</v>
      </c>
      <c r="X711" t="s">
        <v>9956</v>
      </c>
      <c r="Y711" t="s">
        <v>9957</v>
      </c>
      <c r="Z711" t="s">
        <v>9958</v>
      </c>
      <c r="AA711" t="s">
        <v>74</v>
      </c>
      <c r="AB711" t="s">
        <v>74</v>
      </c>
      <c r="AC711" t="s">
        <v>74</v>
      </c>
      <c r="AD711" t="s">
        <v>74</v>
      </c>
      <c r="AE711" t="s">
        <v>74</v>
      </c>
      <c r="AF711" t="s">
        <v>74</v>
      </c>
      <c r="AG711">
        <v>39</v>
      </c>
      <c r="AH711">
        <v>11</v>
      </c>
      <c r="AI711">
        <v>12</v>
      </c>
      <c r="AJ711">
        <v>0</v>
      </c>
      <c r="AK711">
        <v>10</v>
      </c>
      <c r="AL711" t="s">
        <v>2060</v>
      </c>
      <c r="AM711" t="s">
        <v>2061</v>
      </c>
      <c r="AN711" t="s">
        <v>2062</v>
      </c>
      <c r="AO711" t="s">
        <v>9959</v>
      </c>
      <c r="AP711" t="s">
        <v>9960</v>
      </c>
      <c r="AQ711" t="s">
        <v>74</v>
      </c>
      <c r="AR711" t="s">
        <v>9961</v>
      </c>
      <c r="AS711" t="s">
        <v>9962</v>
      </c>
      <c r="AT711" t="s">
        <v>9785</v>
      </c>
      <c r="AU711">
        <v>2002</v>
      </c>
      <c r="AV711">
        <v>40</v>
      </c>
      <c r="AW711">
        <v>3</v>
      </c>
      <c r="AX711" t="s">
        <v>74</v>
      </c>
      <c r="AY711" t="s">
        <v>74</v>
      </c>
      <c r="AZ711" t="s">
        <v>74</v>
      </c>
      <c r="BA711" t="s">
        <v>74</v>
      </c>
      <c r="BB711">
        <v>281</v>
      </c>
      <c r="BC711">
        <v>292</v>
      </c>
      <c r="BD711" t="s">
        <v>74</v>
      </c>
      <c r="BE711" t="s">
        <v>9963</v>
      </c>
      <c r="BF711" t="str">
        <f>HYPERLINK("http://dx.doi.org/10.3137/ao.400301","http://dx.doi.org/10.3137/ao.400301")</f>
        <v>http://dx.doi.org/10.3137/ao.400301</v>
      </c>
      <c r="BG711" t="s">
        <v>74</v>
      </c>
      <c r="BH711" t="s">
        <v>74</v>
      </c>
      <c r="BI711">
        <v>12</v>
      </c>
      <c r="BJ711" t="s">
        <v>2497</v>
      </c>
      <c r="BK711" t="s">
        <v>569</v>
      </c>
      <c r="BL711" t="s">
        <v>2497</v>
      </c>
      <c r="BM711" t="s">
        <v>9964</v>
      </c>
      <c r="BN711" t="s">
        <v>74</v>
      </c>
      <c r="BO711" t="s">
        <v>74</v>
      </c>
      <c r="BP711" t="s">
        <v>74</v>
      </c>
      <c r="BQ711" t="s">
        <v>74</v>
      </c>
      <c r="BR711" t="s">
        <v>98</v>
      </c>
      <c r="BS711" t="s">
        <v>9965</v>
      </c>
      <c r="BT711" t="str">
        <f>HYPERLINK("https%3A%2F%2Fwww.webofscience.com%2Fwos%2Fwoscc%2Ffull-record%2FWOS:000177631700001","View Full Record in Web of Science")</f>
        <v>View Full Record in Web of Science</v>
      </c>
    </row>
    <row r="712" spans="1:72" x14ac:dyDescent="0.15">
      <c r="A712" t="s">
        <v>552</v>
      </c>
      <c r="B712" t="s">
        <v>9966</v>
      </c>
      <c r="C712" t="s">
        <v>74</v>
      </c>
      <c r="D712" t="s">
        <v>74</v>
      </c>
      <c r="E712" t="s">
        <v>74</v>
      </c>
      <c r="F712" t="s">
        <v>9966</v>
      </c>
      <c r="G712" t="s">
        <v>74</v>
      </c>
      <c r="H712" t="s">
        <v>74</v>
      </c>
      <c r="I712" t="s">
        <v>9967</v>
      </c>
      <c r="J712" t="s">
        <v>9968</v>
      </c>
      <c r="K712" t="s">
        <v>74</v>
      </c>
      <c r="L712" t="s">
        <v>74</v>
      </c>
      <c r="M712" t="s">
        <v>78</v>
      </c>
      <c r="N712" t="s">
        <v>775</v>
      </c>
      <c r="O712" t="s">
        <v>74</v>
      </c>
      <c r="P712" t="s">
        <v>74</v>
      </c>
      <c r="Q712" t="s">
        <v>74</v>
      </c>
      <c r="R712" t="s">
        <v>74</v>
      </c>
      <c r="S712" t="s">
        <v>74</v>
      </c>
      <c r="T712" t="s">
        <v>9969</v>
      </c>
      <c r="U712" t="s">
        <v>9970</v>
      </c>
      <c r="V712" t="s">
        <v>9971</v>
      </c>
      <c r="W712" t="s">
        <v>9972</v>
      </c>
      <c r="X712" t="s">
        <v>9973</v>
      </c>
      <c r="Y712" t="s">
        <v>74</v>
      </c>
      <c r="Z712" t="s">
        <v>74</v>
      </c>
      <c r="AA712" t="s">
        <v>9974</v>
      </c>
      <c r="AB712" t="s">
        <v>9975</v>
      </c>
      <c r="AC712" t="s">
        <v>74</v>
      </c>
      <c r="AD712" t="s">
        <v>74</v>
      </c>
      <c r="AE712" t="s">
        <v>74</v>
      </c>
      <c r="AF712" t="s">
        <v>74</v>
      </c>
      <c r="AG712">
        <v>53</v>
      </c>
      <c r="AH712">
        <v>133</v>
      </c>
      <c r="AI712">
        <v>146</v>
      </c>
      <c r="AJ712">
        <v>0</v>
      </c>
      <c r="AK712">
        <v>48</v>
      </c>
      <c r="AL712" t="s">
        <v>2060</v>
      </c>
      <c r="AM712" t="s">
        <v>2061</v>
      </c>
      <c r="AN712" t="s">
        <v>2167</v>
      </c>
      <c r="AO712" t="s">
        <v>9976</v>
      </c>
      <c r="AP712" t="s">
        <v>74</v>
      </c>
      <c r="AQ712" t="s">
        <v>74</v>
      </c>
      <c r="AR712" t="s">
        <v>9968</v>
      </c>
      <c r="AS712" t="s">
        <v>9977</v>
      </c>
      <c r="AT712" t="s">
        <v>9785</v>
      </c>
      <c r="AU712">
        <v>2002</v>
      </c>
      <c r="AV712">
        <v>18</v>
      </c>
      <c r="AW712">
        <v>3</v>
      </c>
      <c r="AX712" t="s">
        <v>74</v>
      </c>
      <c r="AY712" t="s">
        <v>74</v>
      </c>
      <c r="AZ712" t="s">
        <v>74</v>
      </c>
      <c r="BA712" t="s">
        <v>74</v>
      </c>
      <c r="BB712">
        <v>217</v>
      </c>
      <c r="BC712">
        <v>228</v>
      </c>
      <c r="BD712" t="s">
        <v>74</v>
      </c>
      <c r="BE712" t="s">
        <v>9978</v>
      </c>
      <c r="BF712" t="str">
        <f>HYPERLINK("http://dx.doi.org/10.1080/08927010290013026","http://dx.doi.org/10.1080/08927010290013026")</f>
        <v>http://dx.doi.org/10.1080/08927010290013026</v>
      </c>
      <c r="BG712" t="s">
        <v>74</v>
      </c>
      <c r="BH712" t="s">
        <v>74</v>
      </c>
      <c r="BI712">
        <v>12</v>
      </c>
      <c r="BJ712" t="s">
        <v>9979</v>
      </c>
      <c r="BK712" t="s">
        <v>569</v>
      </c>
      <c r="BL712" t="s">
        <v>9979</v>
      </c>
      <c r="BM712" t="s">
        <v>9980</v>
      </c>
      <c r="BN712" t="s">
        <v>74</v>
      </c>
      <c r="BO712" t="s">
        <v>74</v>
      </c>
      <c r="BP712" t="s">
        <v>74</v>
      </c>
      <c r="BQ712" t="s">
        <v>74</v>
      </c>
      <c r="BR712" t="s">
        <v>98</v>
      </c>
      <c r="BS712" t="s">
        <v>9981</v>
      </c>
      <c r="BT712" t="str">
        <f>HYPERLINK("https%3A%2F%2Fwww.webofscience.com%2Fwos%2Fwoscc%2Ffull-record%2FWOS:000176815000005","View Full Record in Web of Science")</f>
        <v>View Full Record in Web of Science</v>
      </c>
    </row>
    <row r="713" spans="1:72" x14ac:dyDescent="0.15">
      <c r="A713" t="s">
        <v>552</v>
      </c>
      <c r="B713" t="s">
        <v>9982</v>
      </c>
      <c r="C713" t="s">
        <v>74</v>
      </c>
      <c r="D713" t="s">
        <v>74</v>
      </c>
      <c r="E713" t="s">
        <v>74</v>
      </c>
      <c r="F713" t="s">
        <v>9982</v>
      </c>
      <c r="G713" t="s">
        <v>74</v>
      </c>
      <c r="H713" t="s">
        <v>74</v>
      </c>
      <c r="I713" t="s">
        <v>9983</v>
      </c>
      <c r="J713" t="s">
        <v>9984</v>
      </c>
      <c r="K713" t="s">
        <v>74</v>
      </c>
      <c r="L713" t="s">
        <v>74</v>
      </c>
      <c r="M713" t="s">
        <v>78</v>
      </c>
      <c r="N713" t="s">
        <v>576</v>
      </c>
      <c r="O713" t="s">
        <v>9985</v>
      </c>
      <c r="P713" t="s">
        <v>9986</v>
      </c>
      <c r="Q713" t="s">
        <v>9987</v>
      </c>
      <c r="R713" t="s">
        <v>74</v>
      </c>
      <c r="S713" t="s">
        <v>9988</v>
      </c>
      <c r="T713" t="s">
        <v>74</v>
      </c>
      <c r="U713" t="s">
        <v>9989</v>
      </c>
      <c r="V713" t="s">
        <v>9990</v>
      </c>
      <c r="W713" t="s">
        <v>9991</v>
      </c>
      <c r="X713" t="s">
        <v>9992</v>
      </c>
      <c r="Y713" t="s">
        <v>9993</v>
      </c>
      <c r="Z713" t="s">
        <v>9994</v>
      </c>
      <c r="AA713" t="s">
        <v>9995</v>
      </c>
      <c r="AB713" t="s">
        <v>9996</v>
      </c>
      <c r="AC713" t="s">
        <v>74</v>
      </c>
      <c r="AD713" t="s">
        <v>74</v>
      </c>
      <c r="AE713" t="s">
        <v>74</v>
      </c>
      <c r="AF713" t="s">
        <v>74</v>
      </c>
      <c r="AG713">
        <v>51</v>
      </c>
      <c r="AH713">
        <v>30</v>
      </c>
      <c r="AI713">
        <v>33</v>
      </c>
      <c r="AJ713">
        <v>0</v>
      </c>
      <c r="AK713">
        <v>13</v>
      </c>
      <c r="AL713" t="s">
        <v>9997</v>
      </c>
      <c r="AM713" t="s">
        <v>9998</v>
      </c>
      <c r="AN713" t="s">
        <v>9999</v>
      </c>
      <c r="AO713" t="s">
        <v>10000</v>
      </c>
      <c r="AP713" t="s">
        <v>10001</v>
      </c>
      <c r="AQ713" t="s">
        <v>74</v>
      </c>
      <c r="AR713" t="s">
        <v>10002</v>
      </c>
      <c r="AS713" t="s">
        <v>10003</v>
      </c>
      <c r="AT713" t="s">
        <v>9785</v>
      </c>
      <c r="AU713">
        <v>2002</v>
      </c>
      <c r="AV713">
        <v>71</v>
      </c>
      <c r="AW713">
        <v>2</v>
      </c>
      <c r="AX713" t="s">
        <v>74</v>
      </c>
      <c r="AY713" t="s">
        <v>74</v>
      </c>
      <c r="AZ713" t="s">
        <v>74</v>
      </c>
      <c r="BA713" t="s">
        <v>74</v>
      </c>
      <c r="BB713">
        <v>601</v>
      </c>
      <c r="BC713">
        <v>617</v>
      </c>
      <c r="BD713" t="s">
        <v>74</v>
      </c>
      <c r="BE713" t="s">
        <v>74</v>
      </c>
      <c r="BF713" t="s">
        <v>74</v>
      </c>
      <c r="BG713" t="s">
        <v>74</v>
      </c>
      <c r="BH713" t="s">
        <v>74</v>
      </c>
      <c r="BI713">
        <v>17</v>
      </c>
      <c r="BJ713" t="s">
        <v>3127</v>
      </c>
      <c r="BK713" t="s">
        <v>605</v>
      </c>
      <c r="BL713" t="s">
        <v>3127</v>
      </c>
      <c r="BM713" t="s">
        <v>10004</v>
      </c>
      <c r="BN713" t="s">
        <v>74</v>
      </c>
      <c r="BO713" t="s">
        <v>74</v>
      </c>
      <c r="BP713" t="s">
        <v>74</v>
      </c>
      <c r="BQ713" t="s">
        <v>74</v>
      </c>
      <c r="BR713" t="s">
        <v>98</v>
      </c>
      <c r="BS713" t="s">
        <v>10005</v>
      </c>
      <c r="BT713" t="str">
        <f>HYPERLINK("https%3A%2F%2Fwww.webofscience.com%2Fwos%2Fwoscc%2Ffull-record%2FWOS:000182787600004","View Full Record in Web of Science")</f>
        <v>View Full Record in Web of Science</v>
      </c>
    </row>
    <row r="714" spans="1:72" x14ac:dyDescent="0.15">
      <c r="A714" t="s">
        <v>552</v>
      </c>
      <c r="B714" t="s">
        <v>10006</v>
      </c>
      <c r="C714" t="s">
        <v>74</v>
      </c>
      <c r="D714" t="s">
        <v>74</v>
      </c>
      <c r="E714" t="s">
        <v>74</v>
      </c>
      <c r="F714" t="s">
        <v>10006</v>
      </c>
      <c r="G714" t="s">
        <v>74</v>
      </c>
      <c r="H714" t="s">
        <v>74</v>
      </c>
      <c r="I714" t="s">
        <v>10007</v>
      </c>
      <c r="J714" t="s">
        <v>9984</v>
      </c>
      <c r="K714" t="s">
        <v>74</v>
      </c>
      <c r="L714" t="s">
        <v>74</v>
      </c>
      <c r="M714" t="s">
        <v>78</v>
      </c>
      <c r="N714" t="s">
        <v>576</v>
      </c>
      <c r="O714" t="s">
        <v>10008</v>
      </c>
      <c r="P714" t="s">
        <v>9986</v>
      </c>
      <c r="Q714" t="s">
        <v>9987</v>
      </c>
      <c r="R714" t="s">
        <v>74</v>
      </c>
      <c r="S714" t="s">
        <v>9988</v>
      </c>
      <c r="T714" t="s">
        <v>74</v>
      </c>
      <c r="U714" t="s">
        <v>2360</v>
      </c>
      <c r="V714" t="s">
        <v>10009</v>
      </c>
      <c r="W714" t="s">
        <v>6379</v>
      </c>
      <c r="X714" t="s">
        <v>6380</v>
      </c>
      <c r="Y714" t="s">
        <v>6381</v>
      </c>
      <c r="Z714" t="s">
        <v>74</v>
      </c>
      <c r="AA714" t="s">
        <v>10010</v>
      </c>
      <c r="AB714" t="s">
        <v>10011</v>
      </c>
      <c r="AC714" t="s">
        <v>74</v>
      </c>
      <c r="AD714" t="s">
        <v>74</v>
      </c>
      <c r="AE714" t="s">
        <v>74</v>
      </c>
      <c r="AF714" t="s">
        <v>74</v>
      </c>
      <c r="AG714">
        <v>20</v>
      </c>
      <c r="AH714">
        <v>11</v>
      </c>
      <c r="AI714">
        <v>11</v>
      </c>
      <c r="AJ714">
        <v>0</v>
      </c>
      <c r="AK714">
        <v>3</v>
      </c>
      <c r="AL714" t="s">
        <v>9997</v>
      </c>
      <c r="AM714" t="s">
        <v>9998</v>
      </c>
      <c r="AN714" t="s">
        <v>9999</v>
      </c>
      <c r="AO714" t="s">
        <v>10000</v>
      </c>
      <c r="AP714" t="s">
        <v>74</v>
      </c>
      <c r="AQ714" t="s">
        <v>74</v>
      </c>
      <c r="AR714" t="s">
        <v>10002</v>
      </c>
      <c r="AS714" t="s">
        <v>10003</v>
      </c>
      <c r="AT714" t="s">
        <v>9785</v>
      </c>
      <c r="AU714">
        <v>2002</v>
      </c>
      <c r="AV714">
        <v>71</v>
      </c>
      <c r="AW714">
        <v>2</v>
      </c>
      <c r="AX714" t="s">
        <v>74</v>
      </c>
      <c r="AY714" t="s">
        <v>74</v>
      </c>
      <c r="AZ714" t="s">
        <v>74</v>
      </c>
      <c r="BA714" t="s">
        <v>74</v>
      </c>
      <c r="BB714">
        <v>993</v>
      </c>
      <c r="BC714">
        <v>1002</v>
      </c>
      <c r="BD714" t="s">
        <v>74</v>
      </c>
      <c r="BE714" t="s">
        <v>74</v>
      </c>
      <c r="BF714" t="s">
        <v>74</v>
      </c>
      <c r="BG714" t="s">
        <v>74</v>
      </c>
      <c r="BH714" t="s">
        <v>74</v>
      </c>
      <c r="BI714">
        <v>10</v>
      </c>
      <c r="BJ714" t="s">
        <v>3127</v>
      </c>
      <c r="BK714" t="s">
        <v>589</v>
      </c>
      <c r="BL714" t="s">
        <v>3127</v>
      </c>
      <c r="BM714" t="s">
        <v>10004</v>
      </c>
      <c r="BN714" t="s">
        <v>74</v>
      </c>
      <c r="BO714" t="s">
        <v>74</v>
      </c>
      <c r="BP714" t="s">
        <v>74</v>
      </c>
      <c r="BQ714" t="s">
        <v>74</v>
      </c>
      <c r="BR714" t="s">
        <v>98</v>
      </c>
      <c r="BS714" t="s">
        <v>10012</v>
      </c>
      <c r="BT714" t="str">
        <f>HYPERLINK("https%3A%2F%2Fwww.webofscience.com%2Fwos%2Fwoscc%2Ffull-record%2FWOS:000182787600028","View Full Record in Web of Science")</f>
        <v>View Full Record in Web of Science</v>
      </c>
    </row>
    <row r="715" spans="1:72" x14ac:dyDescent="0.15">
      <c r="A715" t="s">
        <v>552</v>
      </c>
      <c r="B715" t="s">
        <v>10013</v>
      </c>
      <c r="C715" t="s">
        <v>74</v>
      </c>
      <c r="D715" t="s">
        <v>74</v>
      </c>
      <c r="E715" t="s">
        <v>74</v>
      </c>
      <c r="F715" t="s">
        <v>10013</v>
      </c>
      <c r="G715" t="s">
        <v>74</v>
      </c>
      <c r="H715" t="s">
        <v>74</v>
      </c>
      <c r="I715" t="s">
        <v>10014</v>
      </c>
      <c r="J715" t="s">
        <v>9984</v>
      </c>
      <c r="K715" t="s">
        <v>74</v>
      </c>
      <c r="L715" t="s">
        <v>74</v>
      </c>
      <c r="M715" t="s">
        <v>78</v>
      </c>
      <c r="N715" t="s">
        <v>576</v>
      </c>
      <c r="O715" t="s">
        <v>10008</v>
      </c>
      <c r="P715" t="s">
        <v>9986</v>
      </c>
      <c r="Q715" t="s">
        <v>9987</v>
      </c>
      <c r="R715" t="s">
        <v>74</v>
      </c>
      <c r="S715" t="s">
        <v>9988</v>
      </c>
      <c r="T715" t="s">
        <v>74</v>
      </c>
      <c r="U715" t="s">
        <v>10015</v>
      </c>
      <c r="V715" t="s">
        <v>74</v>
      </c>
      <c r="W715" t="s">
        <v>238</v>
      </c>
      <c r="X715" t="s">
        <v>239</v>
      </c>
      <c r="Y715" t="s">
        <v>10016</v>
      </c>
      <c r="Z715" t="s">
        <v>74</v>
      </c>
      <c r="AA715" t="s">
        <v>74</v>
      </c>
      <c r="AB715" t="s">
        <v>74</v>
      </c>
      <c r="AC715" t="s">
        <v>74</v>
      </c>
      <c r="AD715" t="s">
        <v>74</v>
      </c>
      <c r="AE715" t="s">
        <v>74</v>
      </c>
      <c r="AF715" t="s">
        <v>74</v>
      </c>
      <c r="AG715">
        <v>17</v>
      </c>
      <c r="AH715">
        <v>14</v>
      </c>
      <c r="AI715">
        <v>15</v>
      </c>
      <c r="AJ715">
        <v>0</v>
      </c>
      <c r="AK715">
        <v>2</v>
      </c>
      <c r="AL715" t="s">
        <v>9997</v>
      </c>
      <c r="AM715" t="s">
        <v>9998</v>
      </c>
      <c r="AN715" t="s">
        <v>9999</v>
      </c>
      <c r="AO715" t="s">
        <v>10000</v>
      </c>
      <c r="AP715" t="s">
        <v>74</v>
      </c>
      <c r="AQ715" t="s">
        <v>74</v>
      </c>
      <c r="AR715" t="s">
        <v>10002</v>
      </c>
      <c r="AS715" t="s">
        <v>10003</v>
      </c>
      <c r="AT715" t="s">
        <v>9785</v>
      </c>
      <c r="AU715">
        <v>2002</v>
      </c>
      <c r="AV715">
        <v>71</v>
      </c>
      <c r="AW715">
        <v>2</v>
      </c>
      <c r="AX715" t="s">
        <v>74</v>
      </c>
      <c r="AY715" t="s">
        <v>74</v>
      </c>
      <c r="AZ715" t="s">
        <v>74</v>
      </c>
      <c r="BA715" t="s">
        <v>74</v>
      </c>
      <c r="BB715">
        <v>1087</v>
      </c>
      <c r="BC715">
        <v>1090</v>
      </c>
      <c r="BD715" t="s">
        <v>74</v>
      </c>
      <c r="BE715" t="s">
        <v>74</v>
      </c>
      <c r="BF715" t="s">
        <v>74</v>
      </c>
      <c r="BG715" t="s">
        <v>74</v>
      </c>
      <c r="BH715" t="s">
        <v>74</v>
      </c>
      <c r="BI715">
        <v>4</v>
      </c>
      <c r="BJ715" t="s">
        <v>3127</v>
      </c>
      <c r="BK715" t="s">
        <v>589</v>
      </c>
      <c r="BL715" t="s">
        <v>3127</v>
      </c>
      <c r="BM715" t="s">
        <v>10004</v>
      </c>
      <c r="BN715" t="s">
        <v>74</v>
      </c>
      <c r="BO715" t="s">
        <v>74</v>
      </c>
      <c r="BP715" t="s">
        <v>74</v>
      </c>
      <c r="BQ715" t="s">
        <v>74</v>
      </c>
      <c r="BR715" t="s">
        <v>98</v>
      </c>
      <c r="BS715" t="s">
        <v>10017</v>
      </c>
      <c r="BT715" t="str">
        <f>HYPERLINK("https%3A%2F%2Fwww.webofscience.com%2Fwos%2Fwoscc%2Ffull-record%2FWOS:000182787600035","View Full Record in Web of Science")</f>
        <v>View Full Record in Web of Science</v>
      </c>
    </row>
    <row r="716" spans="1:72" x14ac:dyDescent="0.15">
      <c r="A716" t="s">
        <v>552</v>
      </c>
      <c r="B716" t="s">
        <v>10018</v>
      </c>
      <c r="C716" t="s">
        <v>74</v>
      </c>
      <c r="D716" t="s">
        <v>74</v>
      </c>
      <c r="E716" t="s">
        <v>74</v>
      </c>
      <c r="F716" t="s">
        <v>10018</v>
      </c>
      <c r="G716" t="s">
        <v>74</v>
      </c>
      <c r="H716" t="s">
        <v>74</v>
      </c>
      <c r="I716" t="s">
        <v>10019</v>
      </c>
      <c r="J716" t="s">
        <v>9984</v>
      </c>
      <c r="K716" t="s">
        <v>74</v>
      </c>
      <c r="L716" t="s">
        <v>74</v>
      </c>
      <c r="M716" t="s">
        <v>78</v>
      </c>
      <c r="N716" t="s">
        <v>576</v>
      </c>
      <c r="O716" t="s">
        <v>10008</v>
      </c>
      <c r="P716" t="s">
        <v>9986</v>
      </c>
      <c r="Q716" t="s">
        <v>9987</v>
      </c>
      <c r="R716" t="s">
        <v>74</v>
      </c>
      <c r="S716" t="s">
        <v>9988</v>
      </c>
      <c r="T716" t="s">
        <v>74</v>
      </c>
      <c r="U716" t="s">
        <v>10020</v>
      </c>
      <c r="V716" t="s">
        <v>74</v>
      </c>
      <c r="W716" t="s">
        <v>238</v>
      </c>
      <c r="X716" t="s">
        <v>239</v>
      </c>
      <c r="Y716" t="s">
        <v>10021</v>
      </c>
      <c r="Z716" t="s">
        <v>74</v>
      </c>
      <c r="AA716" t="s">
        <v>10022</v>
      </c>
      <c r="AB716" t="s">
        <v>10023</v>
      </c>
      <c r="AC716" t="s">
        <v>74</v>
      </c>
      <c r="AD716" t="s">
        <v>74</v>
      </c>
      <c r="AE716" t="s">
        <v>74</v>
      </c>
      <c r="AF716" t="s">
        <v>74</v>
      </c>
      <c r="AG716">
        <v>16</v>
      </c>
      <c r="AH716">
        <v>10</v>
      </c>
      <c r="AI716">
        <v>10</v>
      </c>
      <c r="AJ716">
        <v>0</v>
      </c>
      <c r="AK716">
        <v>5</v>
      </c>
      <c r="AL716" t="s">
        <v>9997</v>
      </c>
      <c r="AM716" t="s">
        <v>9998</v>
      </c>
      <c r="AN716" t="s">
        <v>9999</v>
      </c>
      <c r="AO716" t="s">
        <v>10000</v>
      </c>
      <c r="AP716" t="s">
        <v>74</v>
      </c>
      <c r="AQ716" t="s">
        <v>74</v>
      </c>
      <c r="AR716" t="s">
        <v>10002</v>
      </c>
      <c r="AS716" t="s">
        <v>10003</v>
      </c>
      <c r="AT716" t="s">
        <v>9785</v>
      </c>
      <c r="AU716">
        <v>2002</v>
      </c>
      <c r="AV716">
        <v>71</v>
      </c>
      <c r="AW716">
        <v>2</v>
      </c>
      <c r="AX716" t="s">
        <v>74</v>
      </c>
      <c r="AY716" t="s">
        <v>74</v>
      </c>
      <c r="AZ716" t="s">
        <v>74</v>
      </c>
      <c r="BA716" t="s">
        <v>74</v>
      </c>
      <c r="BB716">
        <v>1109</v>
      </c>
      <c r="BC716">
        <v>1112</v>
      </c>
      <c r="BD716" t="s">
        <v>74</v>
      </c>
      <c r="BE716" t="s">
        <v>74</v>
      </c>
      <c r="BF716" t="s">
        <v>74</v>
      </c>
      <c r="BG716" t="s">
        <v>74</v>
      </c>
      <c r="BH716" t="s">
        <v>74</v>
      </c>
      <c r="BI716">
        <v>4</v>
      </c>
      <c r="BJ716" t="s">
        <v>3127</v>
      </c>
      <c r="BK716" t="s">
        <v>589</v>
      </c>
      <c r="BL716" t="s">
        <v>3127</v>
      </c>
      <c r="BM716" t="s">
        <v>10004</v>
      </c>
      <c r="BN716" t="s">
        <v>74</v>
      </c>
      <c r="BO716" t="s">
        <v>74</v>
      </c>
      <c r="BP716" t="s">
        <v>74</v>
      </c>
      <c r="BQ716" t="s">
        <v>74</v>
      </c>
      <c r="BR716" t="s">
        <v>98</v>
      </c>
      <c r="BS716" t="s">
        <v>10024</v>
      </c>
      <c r="BT716" t="str">
        <f>HYPERLINK("https%3A%2F%2Fwww.webofscience.com%2Fwos%2Fwoscc%2Ffull-record%2FWOS:000182787600040","View Full Record in Web of Science")</f>
        <v>View Full Record in Web of Science</v>
      </c>
    </row>
    <row r="717" spans="1:72" x14ac:dyDescent="0.15">
      <c r="A717" t="s">
        <v>552</v>
      </c>
      <c r="B717" t="s">
        <v>10025</v>
      </c>
      <c r="C717" t="s">
        <v>74</v>
      </c>
      <c r="D717" t="s">
        <v>74</v>
      </c>
      <c r="E717" t="s">
        <v>74</v>
      </c>
      <c r="F717" t="s">
        <v>10025</v>
      </c>
      <c r="G717" t="s">
        <v>74</v>
      </c>
      <c r="H717" t="s">
        <v>74</v>
      </c>
      <c r="I717" t="s">
        <v>10026</v>
      </c>
      <c r="J717" t="s">
        <v>994</v>
      </c>
      <c r="K717" t="s">
        <v>74</v>
      </c>
      <c r="L717" t="s">
        <v>74</v>
      </c>
      <c r="M717" t="s">
        <v>78</v>
      </c>
      <c r="N717" t="s">
        <v>775</v>
      </c>
      <c r="O717" t="s">
        <v>74</v>
      </c>
      <c r="P717" t="s">
        <v>74</v>
      </c>
      <c r="Q717" t="s">
        <v>74</v>
      </c>
      <c r="R717" t="s">
        <v>74</v>
      </c>
      <c r="S717" t="s">
        <v>74</v>
      </c>
      <c r="T717" t="s">
        <v>74</v>
      </c>
      <c r="U717" t="s">
        <v>10027</v>
      </c>
      <c r="V717" t="s">
        <v>10028</v>
      </c>
      <c r="W717" t="s">
        <v>10029</v>
      </c>
      <c r="X717" t="s">
        <v>10030</v>
      </c>
      <c r="Y717" t="s">
        <v>74</v>
      </c>
      <c r="Z717" t="s">
        <v>10031</v>
      </c>
      <c r="AA717" t="s">
        <v>10032</v>
      </c>
      <c r="AB717" t="s">
        <v>10033</v>
      </c>
      <c r="AC717" t="s">
        <v>74</v>
      </c>
      <c r="AD717" t="s">
        <v>74</v>
      </c>
      <c r="AE717" t="s">
        <v>74</v>
      </c>
      <c r="AF717" t="s">
        <v>74</v>
      </c>
      <c r="AG717">
        <v>56</v>
      </c>
      <c r="AH717">
        <v>43</v>
      </c>
      <c r="AI717">
        <v>49</v>
      </c>
      <c r="AJ717">
        <v>2</v>
      </c>
      <c r="AK717">
        <v>26</v>
      </c>
      <c r="AL717" t="s">
        <v>1003</v>
      </c>
      <c r="AM717" t="s">
        <v>1004</v>
      </c>
      <c r="AN717" t="s">
        <v>1005</v>
      </c>
      <c r="AO717" t="s">
        <v>1006</v>
      </c>
      <c r="AP717" t="s">
        <v>1007</v>
      </c>
      <c r="AQ717" t="s">
        <v>74</v>
      </c>
      <c r="AR717" t="s">
        <v>1008</v>
      </c>
      <c r="AS717" t="s">
        <v>1009</v>
      </c>
      <c r="AT717" t="s">
        <v>9785</v>
      </c>
      <c r="AU717">
        <v>2002</v>
      </c>
      <c r="AV717">
        <v>80</v>
      </c>
      <c r="AW717">
        <v>9</v>
      </c>
      <c r="AX717" t="s">
        <v>74</v>
      </c>
      <c r="AY717" t="s">
        <v>74</v>
      </c>
      <c r="AZ717" t="s">
        <v>74</v>
      </c>
      <c r="BA717" t="s">
        <v>74</v>
      </c>
      <c r="BB717">
        <v>1498</v>
      </c>
      <c r="BC717">
        <v>1510</v>
      </c>
      <c r="BD717" t="s">
        <v>74</v>
      </c>
      <c r="BE717" t="s">
        <v>10034</v>
      </c>
      <c r="BF717" t="str">
        <f>HYPERLINK("http://dx.doi.org/10.1139/Z02-141","http://dx.doi.org/10.1139/Z02-141")</f>
        <v>http://dx.doi.org/10.1139/Z02-141</v>
      </c>
      <c r="BG717" t="s">
        <v>74</v>
      </c>
      <c r="BH717" t="s">
        <v>74</v>
      </c>
      <c r="BI717">
        <v>13</v>
      </c>
      <c r="BJ717" t="s">
        <v>927</v>
      </c>
      <c r="BK717" t="s">
        <v>569</v>
      </c>
      <c r="BL717" t="s">
        <v>927</v>
      </c>
      <c r="BM717" t="s">
        <v>10035</v>
      </c>
      <c r="BN717" t="s">
        <v>74</v>
      </c>
      <c r="BO717" t="s">
        <v>74</v>
      </c>
      <c r="BP717" t="s">
        <v>74</v>
      </c>
      <c r="BQ717" t="s">
        <v>74</v>
      </c>
      <c r="BR717" t="s">
        <v>98</v>
      </c>
      <c r="BS717" t="s">
        <v>10036</v>
      </c>
      <c r="BT717" t="str">
        <f>HYPERLINK("https%3A%2F%2Fwww.webofscience.com%2Fwos%2Fwoscc%2Ffull-record%2FWOS:000178817500002","View Full Record in Web of Science")</f>
        <v>View Full Record in Web of Science</v>
      </c>
    </row>
    <row r="718" spans="1:72" x14ac:dyDescent="0.15">
      <c r="A718" t="s">
        <v>552</v>
      </c>
      <c r="B718" t="s">
        <v>10037</v>
      </c>
      <c r="C718" t="s">
        <v>74</v>
      </c>
      <c r="D718" t="s">
        <v>74</v>
      </c>
      <c r="E718" t="s">
        <v>74</v>
      </c>
      <c r="F718" t="s">
        <v>10037</v>
      </c>
      <c r="G718" t="s">
        <v>74</v>
      </c>
      <c r="H718" t="s">
        <v>74</v>
      </c>
      <c r="I718" t="s">
        <v>10038</v>
      </c>
      <c r="J718" t="s">
        <v>1179</v>
      </c>
      <c r="K718" t="s">
        <v>74</v>
      </c>
      <c r="L718" t="s">
        <v>74</v>
      </c>
      <c r="M718" t="s">
        <v>78</v>
      </c>
      <c r="N718" t="s">
        <v>775</v>
      </c>
      <c r="O718" t="s">
        <v>74</v>
      </c>
      <c r="P718" t="s">
        <v>74</v>
      </c>
      <c r="Q718" t="s">
        <v>74</v>
      </c>
      <c r="R718" t="s">
        <v>74</v>
      </c>
      <c r="S718" t="s">
        <v>74</v>
      </c>
      <c r="T718" t="s">
        <v>10039</v>
      </c>
      <c r="U718" t="s">
        <v>10040</v>
      </c>
      <c r="V718" t="s">
        <v>10041</v>
      </c>
      <c r="W718" t="s">
        <v>10042</v>
      </c>
      <c r="X718" t="s">
        <v>10043</v>
      </c>
      <c r="Y718" t="s">
        <v>10044</v>
      </c>
      <c r="Z718" t="s">
        <v>74</v>
      </c>
      <c r="AA718" t="s">
        <v>74</v>
      </c>
      <c r="AB718" t="s">
        <v>10045</v>
      </c>
      <c r="AC718" t="s">
        <v>74</v>
      </c>
      <c r="AD718" t="s">
        <v>74</v>
      </c>
      <c r="AE718" t="s">
        <v>74</v>
      </c>
      <c r="AF718" t="s">
        <v>74</v>
      </c>
      <c r="AG718">
        <v>58</v>
      </c>
      <c r="AH718">
        <v>23</v>
      </c>
      <c r="AI718">
        <v>26</v>
      </c>
      <c r="AJ718">
        <v>3</v>
      </c>
      <c r="AK718">
        <v>23</v>
      </c>
      <c r="AL718" t="s">
        <v>806</v>
      </c>
      <c r="AM718" t="s">
        <v>807</v>
      </c>
      <c r="AN718" t="s">
        <v>808</v>
      </c>
      <c r="AO718" t="s">
        <v>1189</v>
      </c>
      <c r="AP718" t="s">
        <v>74</v>
      </c>
      <c r="AQ718" t="s">
        <v>74</v>
      </c>
      <c r="AR718" t="s">
        <v>1179</v>
      </c>
      <c r="AS718" t="s">
        <v>1191</v>
      </c>
      <c r="AT718" t="s">
        <v>9785</v>
      </c>
      <c r="AU718">
        <v>2002</v>
      </c>
      <c r="AV718">
        <v>48</v>
      </c>
      <c r="AW718">
        <v>9</v>
      </c>
      <c r="AX718" t="s">
        <v>74</v>
      </c>
      <c r="AY718" t="s">
        <v>74</v>
      </c>
      <c r="AZ718" t="s">
        <v>74</v>
      </c>
      <c r="BA718" t="s">
        <v>74</v>
      </c>
      <c r="BB718">
        <v>981</v>
      </c>
      <c r="BC718">
        <v>992</v>
      </c>
      <c r="BD718" t="s">
        <v>10046</v>
      </c>
      <c r="BE718" t="s">
        <v>10047</v>
      </c>
      <c r="BF718" t="str">
        <f>HYPERLINK("http://dx.doi.org/10.1016/S0045-6535(02)00110-8","http://dx.doi.org/10.1016/S0045-6535(02)00110-8")</f>
        <v>http://dx.doi.org/10.1016/S0045-6535(02)00110-8</v>
      </c>
      <c r="BG718" t="s">
        <v>74</v>
      </c>
      <c r="BH718" t="s">
        <v>74</v>
      </c>
      <c r="BI718">
        <v>12</v>
      </c>
      <c r="BJ718" t="s">
        <v>1194</v>
      </c>
      <c r="BK718" t="s">
        <v>569</v>
      </c>
      <c r="BL718" t="s">
        <v>1195</v>
      </c>
      <c r="BM718" t="s">
        <v>10048</v>
      </c>
      <c r="BN718">
        <v>12222794</v>
      </c>
      <c r="BO718" t="s">
        <v>74</v>
      </c>
      <c r="BP718" t="s">
        <v>74</v>
      </c>
      <c r="BQ718" t="s">
        <v>74</v>
      </c>
      <c r="BR718" t="s">
        <v>98</v>
      </c>
      <c r="BS718" t="s">
        <v>10049</v>
      </c>
      <c r="BT718" t="str">
        <f>HYPERLINK("https%3A%2F%2Fwww.webofscience.com%2Fwos%2Fwoscc%2Ffull-record%2FWOS:000177462200011","View Full Record in Web of Science")</f>
        <v>View Full Record in Web of Science</v>
      </c>
    </row>
    <row r="719" spans="1:72" x14ac:dyDescent="0.15">
      <c r="A719" t="s">
        <v>552</v>
      </c>
      <c r="B719" t="s">
        <v>10050</v>
      </c>
      <c r="C719" t="s">
        <v>74</v>
      </c>
      <c r="D719" t="s">
        <v>74</v>
      </c>
      <c r="E719" t="s">
        <v>74</v>
      </c>
      <c r="F719" t="s">
        <v>10050</v>
      </c>
      <c r="G719" t="s">
        <v>74</v>
      </c>
      <c r="H719" t="s">
        <v>74</v>
      </c>
      <c r="I719" t="s">
        <v>10051</v>
      </c>
      <c r="J719" t="s">
        <v>10052</v>
      </c>
      <c r="K719" t="s">
        <v>74</v>
      </c>
      <c r="L719" t="s">
        <v>74</v>
      </c>
      <c r="M719" t="s">
        <v>10053</v>
      </c>
      <c r="N719" t="s">
        <v>775</v>
      </c>
      <c r="O719" t="s">
        <v>74</v>
      </c>
      <c r="P719" t="s">
        <v>74</v>
      </c>
      <c r="Q719" t="s">
        <v>74</v>
      </c>
      <c r="R719" t="s">
        <v>74</v>
      </c>
      <c r="S719" t="s">
        <v>74</v>
      </c>
      <c r="T719" t="s">
        <v>10054</v>
      </c>
      <c r="U719" t="s">
        <v>74</v>
      </c>
      <c r="V719" t="s">
        <v>10055</v>
      </c>
      <c r="W719" t="s">
        <v>10056</v>
      </c>
      <c r="X719" t="s">
        <v>10057</v>
      </c>
      <c r="Y719" t="s">
        <v>10058</v>
      </c>
      <c r="Z719" t="s">
        <v>74</v>
      </c>
      <c r="AA719" t="s">
        <v>10059</v>
      </c>
      <c r="AB719" t="s">
        <v>74</v>
      </c>
      <c r="AC719" t="s">
        <v>74</v>
      </c>
      <c r="AD719" t="s">
        <v>74</v>
      </c>
      <c r="AE719" t="s">
        <v>74</v>
      </c>
      <c r="AF719" t="s">
        <v>74</v>
      </c>
      <c r="AG719">
        <v>6</v>
      </c>
      <c r="AH719">
        <v>0</v>
      </c>
      <c r="AI719">
        <v>5</v>
      </c>
      <c r="AJ719">
        <v>2</v>
      </c>
      <c r="AK719">
        <v>9</v>
      </c>
      <c r="AL719" t="s">
        <v>4721</v>
      </c>
      <c r="AM719" t="s">
        <v>4722</v>
      </c>
      <c r="AN719" t="s">
        <v>4723</v>
      </c>
      <c r="AO719" t="s">
        <v>10060</v>
      </c>
      <c r="AP719" t="s">
        <v>74</v>
      </c>
      <c r="AQ719" t="s">
        <v>74</v>
      </c>
      <c r="AR719" t="s">
        <v>10061</v>
      </c>
      <c r="AS719" t="s">
        <v>10062</v>
      </c>
      <c r="AT719" t="s">
        <v>9785</v>
      </c>
      <c r="AU719">
        <v>2002</v>
      </c>
      <c r="AV719">
        <v>30</v>
      </c>
      <c r="AW719">
        <v>9</v>
      </c>
      <c r="AX719" t="s">
        <v>74</v>
      </c>
      <c r="AY719" t="s">
        <v>74</v>
      </c>
      <c r="AZ719" t="s">
        <v>74</v>
      </c>
      <c r="BA719" t="s">
        <v>74</v>
      </c>
      <c r="BB719">
        <v>1035</v>
      </c>
      <c r="BC719">
        <v>1037</v>
      </c>
      <c r="BD719" t="s">
        <v>74</v>
      </c>
      <c r="BE719" t="s">
        <v>74</v>
      </c>
      <c r="BF719" t="s">
        <v>74</v>
      </c>
      <c r="BG719" t="s">
        <v>74</v>
      </c>
      <c r="BH719" t="s">
        <v>74</v>
      </c>
      <c r="BI719">
        <v>3</v>
      </c>
      <c r="BJ719" t="s">
        <v>8510</v>
      </c>
      <c r="BK719" t="s">
        <v>569</v>
      </c>
      <c r="BL719" t="s">
        <v>863</v>
      </c>
      <c r="BM719" t="s">
        <v>10063</v>
      </c>
      <c r="BN719" t="s">
        <v>74</v>
      </c>
      <c r="BO719" t="s">
        <v>74</v>
      </c>
      <c r="BP719" t="s">
        <v>74</v>
      </c>
      <c r="BQ719" t="s">
        <v>74</v>
      </c>
      <c r="BR719" t="s">
        <v>98</v>
      </c>
      <c r="BS719" t="s">
        <v>10064</v>
      </c>
      <c r="BT719" t="str">
        <f>HYPERLINK("https%3A%2F%2Fwww.webofscience.com%2Fwos%2Fwoscc%2Ffull-record%2FWOS:000178379800003","View Full Record in Web of Science")</f>
        <v>View Full Record in Web of Science</v>
      </c>
    </row>
    <row r="720" spans="1:72" x14ac:dyDescent="0.15">
      <c r="A720" t="s">
        <v>552</v>
      </c>
      <c r="B720" t="s">
        <v>10065</v>
      </c>
      <c r="C720" t="s">
        <v>74</v>
      </c>
      <c r="D720" t="s">
        <v>74</v>
      </c>
      <c r="E720" t="s">
        <v>74</v>
      </c>
      <c r="F720" t="s">
        <v>10065</v>
      </c>
      <c r="G720" t="s">
        <v>74</v>
      </c>
      <c r="H720" t="s">
        <v>74</v>
      </c>
      <c r="I720" t="s">
        <v>10066</v>
      </c>
      <c r="J720" t="s">
        <v>10067</v>
      </c>
      <c r="K720" t="s">
        <v>74</v>
      </c>
      <c r="L720" t="s">
        <v>74</v>
      </c>
      <c r="M720" t="s">
        <v>78</v>
      </c>
      <c r="N720" t="s">
        <v>775</v>
      </c>
      <c r="O720" t="s">
        <v>74</v>
      </c>
      <c r="P720" t="s">
        <v>74</v>
      </c>
      <c r="Q720" t="s">
        <v>74</v>
      </c>
      <c r="R720" t="s">
        <v>74</v>
      </c>
      <c r="S720" t="s">
        <v>74</v>
      </c>
      <c r="T720" t="s">
        <v>10068</v>
      </c>
      <c r="U720" t="s">
        <v>10069</v>
      </c>
      <c r="V720" t="s">
        <v>10070</v>
      </c>
      <c r="W720" t="s">
        <v>10071</v>
      </c>
      <c r="X720" t="s">
        <v>10072</v>
      </c>
      <c r="Y720" t="s">
        <v>10073</v>
      </c>
      <c r="Z720" t="s">
        <v>74</v>
      </c>
      <c r="AA720" t="s">
        <v>74</v>
      </c>
      <c r="AB720" t="s">
        <v>74</v>
      </c>
      <c r="AC720" t="s">
        <v>74</v>
      </c>
      <c r="AD720" t="s">
        <v>74</v>
      </c>
      <c r="AE720" t="s">
        <v>74</v>
      </c>
      <c r="AF720" t="s">
        <v>74</v>
      </c>
      <c r="AG720">
        <v>15</v>
      </c>
      <c r="AH720">
        <v>2</v>
      </c>
      <c r="AI720">
        <v>4</v>
      </c>
      <c r="AJ720">
        <v>2</v>
      </c>
      <c r="AK720">
        <v>7</v>
      </c>
      <c r="AL720" t="s">
        <v>4721</v>
      </c>
      <c r="AM720" t="s">
        <v>4722</v>
      </c>
      <c r="AN720" t="s">
        <v>4723</v>
      </c>
      <c r="AO720" t="s">
        <v>10074</v>
      </c>
      <c r="AP720" t="s">
        <v>74</v>
      </c>
      <c r="AQ720" t="s">
        <v>74</v>
      </c>
      <c r="AR720" t="s">
        <v>10075</v>
      </c>
      <c r="AS720" t="s">
        <v>10076</v>
      </c>
      <c r="AT720" t="s">
        <v>9785</v>
      </c>
      <c r="AU720">
        <v>2002</v>
      </c>
      <c r="AV720">
        <v>47</v>
      </c>
      <c r="AW720">
        <v>17</v>
      </c>
      <c r="AX720" t="s">
        <v>74</v>
      </c>
      <c r="AY720" t="s">
        <v>74</v>
      </c>
      <c r="AZ720" t="s">
        <v>74</v>
      </c>
      <c r="BA720" t="s">
        <v>74</v>
      </c>
      <c r="BB720">
        <v>1474</v>
      </c>
      <c r="BC720">
        <v>1478</v>
      </c>
      <c r="BD720" t="s">
        <v>74</v>
      </c>
      <c r="BE720" t="s">
        <v>10077</v>
      </c>
      <c r="BF720" t="str">
        <f>HYPERLINK("http://dx.doi.org/10.1360/02tb9325","http://dx.doi.org/10.1360/02tb9325")</f>
        <v>http://dx.doi.org/10.1360/02tb9325</v>
      </c>
      <c r="BG720" t="s">
        <v>74</v>
      </c>
      <c r="BH720" t="s">
        <v>74</v>
      </c>
      <c r="BI720">
        <v>5</v>
      </c>
      <c r="BJ720" t="s">
        <v>5596</v>
      </c>
      <c r="BK720" t="s">
        <v>569</v>
      </c>
      <c r="BL720" t="s">
        <v>5597</v>
      </c>
      <c r="BM720" t="s">
        <v>10078</v>
      </c>
      <c r="BN720" t="s">
        <v>74</v>
      </c>
      <c r="BO720" t="s">
        <v>74</v>
      </c>
      <c r="BP720" t="s">
        <v>74</v>
      </c>
      <c r="BQ720" t="s">
        <v>74</v>
      </c>
      <c r="BR720" t="s">
        <v>98</v>
      </c>
      <c r="BS720" t="s">
        <v>10079</v>
      </c>
      <c r="BT720" t="str">
        <f>HYPERLINK("https%3A%2F%2Fwww.webofscience.com%2Fwos%2Fwoscc%2Ffull-record%2FWOS:000177653300015","View Full Record in Web of Science")</f>
        <v>View Full Record in Web of Science</v>
      </c>
    </row>
    <row r="721" spans="1:72" x14ac:dyDescent="0.15">
      <c r="A721" t="s">
        <v>552</v>
      </c>
      <c r="B721" t="s">
        <v>10080</v>
      </c>
      <c r="C721" t="s">
        <v>74</v>
      </c>
      <c r="D721" t="s">
        <v>74</v>
      </c>
      <c r="E721" t="s">
        <v>74</v>
      </c>
      <c r="F721" t="s">
        <v>10080</v>
      </c>
      <c r="G721" t="s">
        <v>74</v>
      </c>
      <c r="H721" t="s">
        <v>74</v>
      </c>
      <c r="I721" t="s">
        <v>10081</v>
      </c>
      <c r="J721" t="s">
        <v>10082</v>
      </c>
      <c r="K721" t="s">
        <v>74</v>
      </c>
      <c r="L721" t="s">
        <v>74</v>
      </c>
      <c r="M721" t="s">
        <v>78</v>
      </c>
      <c r="N721" t="s">
        <v>775</v>
      </c>
      <c r="O721" t="s">
        <v>74</v>
      </c>
      <c r="P721" t="s">
        <v>74</v>
      </c>
      <c r="Q721" t="s">
        <v>74</v>
      </c>
      <c r="R721" t="s">
        <v>74</v>
      </c>
      <c r="S721" t="s">
        <v>74</v>
      </c>
      <c r="T721" t="s">
        <v>10083</v>
      </c>
      <c r="U721" t="s">
        <v>10084</v>
      </c>
      <c r="V721" t="s">
        <v>10085</v>
      </c>
      <c r="W721" t="s">
        <v>10086</v>
      </c>
      <c r="X721" t="s">
        <v>10087</v>
      </c>
      <c r="Y721" t="s">
        <v>10088</v>
      </c>
      <c r="Z721" t="s">
        <v>74</v>
      </c>
      <c r="AA721" t="s">
        <v>10089</v>
      </c>
      <c r="AB721" t="s">
        <v>10090</v>
      </c>
      <c r="AC721" t="s">
        <v>74</v>
      </c>
      <c r="AD721" t="s">
        <v>74</v>
      </c>
      <c r="AE721" t="s">
        <v>74</v>
      </c>
      <c r="AF721" t="s">
        <v>74</v>
      </c>
      <c r="AG721">
        <v>33</v>
      </c>
      <c r="AH721">
        <v>12</v>
      </c>
      <c r="AI721">
        <v>12</v>
      </c>
      <c r="AJ721">
        <v>1</v>
      </c>
      <c r="AK721">
        <v>25</v>
      </c>
      <c r="AL721" t="s">
        <v>10091</v>
      </c>
      <c r="AM721" t="s">
        <v>10092</v>
      </c>
      <c r="AN721" t="s">
        <v>10093</v>
      </c>
      <c r="AO721" t="s">
        <v>10094</v>
      </c>
      <c r="AP721" t="s">
        <v>74</v>
      </c>
      <c r="AQ721" t="s">
        <v>74</v>
      </c>
      <c r="AR721" t="s">
        <v>10095</v>
      </c>
      <c r="AS721" t="s">
        <v>10096</v>
      </c>
      <c r="AT721" t="s">
        <v>9785</v>
      </c>
      <c r="AU721">
        <v>2002</v>
      </c>
      <c r="AV721">
        <v>28</v>
      </c>
      <c r="AW721">
        <v>3</v>
      </c>
      <c r="AX721" t="s">
        <v>74</v>
      </c>
      <c r="AY721" t="s">
        <v>74</v>
      </c>
      <c r="AZ721" t="s">
        <v>74</v>
      </c>
      <c r="BA721" t="s">
        <v>74</v>
      </c>
      <c r="BB721">
        <v>223</v>
      </c>
      <c r="BC721">
        <v>236</v>
      </c>
      <c r="BD721" t="s">
        <v>74</v>
      </c>
      <c r="BE721" t="s">
        <v>74</v>
      </c>
      <c r="BF721" t="s">
        <v>74</v>
      </c>
      <c r="BG721" t="s">
        <v>74</v>
      </c>
      <c r="BH721" t="s">
        <v>74</v>
      </c>
      <c r="BI721">
        <v>14</v>
      </c>
      <c r="BJ721" t="s">
        <v>989</v>
      </c>
      <c r="BK721" t="s">
        <v>569</v>
      </c>
      <c r="BL721" t="s">
        <v>989</v>
      </c>
      <c r="BM721" t="s">
        <v>10097</v>
      </c>
      <c r="BN721" t="s">
        <v>74</v>
      </c>
      <c r="BO721" t="s">
        <v>74</v>
      </c>
      <c r="BP721" t="s">
        <v>74</v>
      </c>
      <c r="BQ721" t="s">
        <v>74</v>
      </c>
      <c r="BR721" t="s">
        <v>98</v>
      </c>
      <c r="BS721" t="s">
        <v>10098</v>
      </c>
      <c r="BT721" t="str">
        <f>HYPERLINK("https%3A%2F%2Fwww.webofscience.com%2Fwos%2Fwoscc%2Ffull-record%2FWOS:000177897900001","View Full Record in Web of Science")</f>
        <v>View Full Record in Web of Science</v>
      </c>
    </row>
    <row r="722" spans="1:72" x14ac:dyDescent="0.15">
      <c r="A722" t="s">
        <v>552</v>
      </c>
      <c r="B722" t="s">
        <v>6064</v>
      </c>
      <c r="C722" t="s">
        <v>74</v>
      </c>
      <c r="D722" t="s">
        <v>74</v>
      </c>
      <c r="E722" t="s">
        <v>74</v>
      </c>
      <c r="F722" t="s">
        <v>6064</v>
      </c>
      <c r="G722" t="s">
        <v>74</v>
      </c>
      <c r="H722" t="s">
        <v>74</v>
      </c>
      <c r="I722" t="s">
        <v>10099</v>
      </c>
      <c r="J722" t="s">
        <v>1339</v>
      </c>
      <c r="K722" t="s">
        <v>74</v>
      </c>
      <c r="L722" t="s">
        <v>74</v>
      </c>
      <c r="M722" t="s">
        <v>78</v>
      </c>
      <c r="N722" t="s">
        <v>775</v>
      </c>
      <c r="O722" t="s">
        <v>74</v>
      </c>
      <c r="P722" t="s">
        <v>74</v>
      </c>
      <c r="Q722" t="s">
        <v>74</v>
      </c>
      <c r="R722" t="s">
        <v>74</v>
      </c>
      <c r="S722" t="s">
        <v>74</v>
      </c>
      <c r="T722" t="s">
        <v>74</v>
      </c>
      <c r="U722" t="s">
        <v>10100</v>
      </c>
      <c r="V722" t="s">
        <v>10101</v>
      </c>
      <c r="W722" t="s">
        <v>6066</v>
      </c>
      <c r="X722" t="s">
        <v>6067</v>
      </c>
      <c r="Y722" t="s">
        <v>6068</v>
      </c>
      <c r="Z722" t="s">
        <v>74</v>
      </c>
      <c r="AA722" t="s">
        <v>74</v>
      </c>
      <c r="AB722" t="s">
        <v>74</v>
      </c>
      <c r="AC722" t="s">
        <v>74</v>
      </c>
      <c r="AD722" t="s">
        <v>74</v>
      </c>
      <c r="AE722" t="s">
        <v>74</v>
      </c>
      <c r="AF722" t="s">
        <v>74</v>
      </c>
      <c r="AG722">
        <v>69</v>
      </c>
      <c r="AH722">
        <v>4</v>
      </c>
      <c r="AI722">
        <v>7</v>
      </c>
      <c r="AJ722">
        <v>0</v>
      </c>
      <c r="AK722">
        <v>1</v>
      </c>
      <c r="AL722" t="s">
        <v>1344</v>
      </c>
      <c r="AM722" t="s">
        <v>91</v>
      </c>
      <c r="AN722" t="s">
        <v>1345</v>
      </c>
      <c r="AO722" t="s">
        <v>1346</v>
      </c>
      <c r="AP722" t="s">
        <v>6069</v>
      </c>
      <c r="AQ722" t="s">
        <v>74</v>
      </c>
      <c r="AR722" t="s">
        <v>1339</v>
      </c>
      <c r="AS722" t="s">
        <v>1347</v>
      </c>
      <c r="AT722" t="s">
        <v>9785</v>
      </c>
      <c r="AU722">
        <v>2002</v>
      </c>
      <c r="AV722">
        <v>75</v>
      </c>
      <c r="AW722" t="s">
        <v>74</v>
      </c>
      <c r="AX722">
        <v>8</v>
      </c>
      <c r="AY722" t="s">
        <v>74</v>
      </c>
      <c r="AZ722" t="s">
        <v>74</v>
      </c>
      <c r="BA722" t="s">
        <v>74</v>
      </c>
      <c r="BB722">
        <v>937</v>
      </c>
      <c r="BC722">
        <v>956</v>
      </c>
      <c r="BD722" t="s">
        <v>74</v>
      </c>
      <c r="BE722" t="s">
        <v>10102</v>
      </c>
      <c r="BF722" t="str">
        <f>HYPERLINK("http://dx.doi.org/10.1163/15685400260569599","http://dx.doi.org/10.1163/15685400260569599")</f>
        <v>http://dx.doi.org/10.1163/15685400260569599</v>
      </c>
      <c r="BG722" t="s">
        <v>74</v>
      </c>
      <c r="BH722" t="s">
        <v>74</v>
      </c>
      <c r="BI722">
        <v>20</v>
      </c>
      <c r="BJ722" t="s">
        <v>989</v>
      </c>
      <c r="BK722" t="s">
        <v>569</v>
      </c>
      <c r="BL722" t="s">
        <v>989</v>
      </c>
      <c r="BM722" t="s">
        <v>10103</v>
      </c>
      <c r="BN722" t="s">
        <v>74</v>
      </c>
      <c r="BO722" t="s">
        <v>74</v>
      </c>
      <c r="BP722" t="s">
        <v>74</v>
      </c>
      <c r="BQ722" t="s">
        <v>74</v>
      </c>
      <c r="BR722" t="s">
        <v>98</v>
      </c>
      <c r="BS722" t="s">
        <v>10104</v>
      </c>
      <c r="BT722" t="str">
        <f>HYPERLINK("https%3A%2F%2Fwww.webofscience.com%2Fwos%2Fwoscc%2Ffull-record%2FWOS:000180702800001","View Full Record in Web of Science")</f>
        <v>View Full Record in Web of Science</v>
      </c>
    </row>
    <row r="723" spans="1:72" x14ac:dyDescent="0.15">
      <c r="A723" t="s">
        <v>552</v>
      </c>
      <c r="B723" t="s">
        <v>10105</v>
      </c>
      <c r="C723" t="s">
        <v>74</v>
      </c>
      <c r="D723" t="s">
        <v>74</v>
      </c>
      <c r="E723" t="s">
        <v>74</v>
      </c>
      <c r="F723" t="s">
        <v>10105</v>
      </c>
      <c r="G723" t="s">
        <v>74</v>
      </c>
      <c r="H723" t="s">
        <v>74</v>
      </c>
      <c r="I723" t="s">
        <v>10106</v>
      </c>
      <c r="J723" t="s">
        <v>1381</v>
      </c>
      <c r="K723" t="s">
        <v>74</v>
      </c>
      <c r="L723" t="s">
        <v>74</v>
      </c>
      <c r="M723" t="s">
        <v>78</v>
      </c>
      <c r="N723" t="s">
        <v>775</v>
      </c>
      <c r="O723" t="s">
        <v>74</v>
      </c>
      <c r="P723" t="s">
        <v>74</v>
      </c>
      <c r="Q723" t="s">
        <v>74</v>
      </c>
      <c r="R723" t="s">
        <v>74</v>
      </c>
      <c r="S723" t="s">
        <v>74</v>
      </c>
      <c r="T723" t="s">
        <v>10107</v>
      </c>
      <c r="U723" t="s">
        <v>10108</v>
      </c>
      <c r="V723" t="s">
        <v>10109</v>
      </c>
      <c r="W723" t="s">
        <v>10110</v>
      </c>
      <c r="X723" t="s">
        <v>10111</v>
      </c>
      <c r="Y723" t="s">
        <v>10112</v>
      </c>
      <c r="Z723" t="s">
        <v>10113</v>
      </c>
      <c r="AA723" t="s">
        <v>74</v>
      </c>
      <c r="AB723" t="s">
        <v>74</v>
      </c>
      <c r="AC723" t="s">
        <v>74</v>
      </c>
      <c r="AD723" t="s">
        <v>74</v>
      </c>
      <c r="AE723" t="s">
        <v>74</v>
      </c>
      <c r="AF723" t="s">
        <v>74</v>
      </c>
      <c r="AG723">
        <v>50</v>
      </c>
      <c r="AH723">
        <v>14</v>
      </c>
      <c r="AI723">
        <v>14</v>
      </c>
      <c r="AJ723">
        <v>2</v>
      </c>
      <c r="AK723">
        <v>6</v>
      </c>
      <c r="AL723" t="s">
        <v>806</v>
      </c>
      <c r="AM723" t="s">
        <v>807</v>
      </c>
      <c r="AN723" t="s">
        <v>808</v>
      </c>
      <c r="AO723" t="s">
        <v>1389</v>
      </c>
      <c r="AP723" t="s">
        <v>1390</v>
      </c>
      <c r="AQ723" t="s">
        <v>74</v>
      </c>
      <c r="AR723" t="s">
        <v>1391</v>
      </c>
      <c r="AS723" t="s">
        <v>1392</v>
      </c>
      <c r="AT723" t="s">
        <v>9785</v>
      </c>
      <c r="AU723">
        <v>2002</v>
      </c>
      <c r="AV723">
        <v>49</v>
      </c>
      <c r="AW723">
        <v>9</v>
      </c>
      <c r="AX723" t="s">
        <v>74</v>
      </c>
      <c r="AY723" t="s">
        <v>74</v>
      </c>
      <c r="AZ723" t="s">
        <v>74</v>
      </c>
      <c r="BA723" t="s">
        <v>74</v>
      </c>
      <c r="BB723">
        <v>1651</v>
      </c>
      <c r="BC723">
        <v>1667</v>
      </c>
      <c r="BD723" t="s">
        <v>10114</v>
      </c>
      <c r="BE723" t="s">
        <v>10115</v>
      </c>
      <c r="BF723" t="str">
        <f>HYPERLINK("http://dx.doi.org/10.1016/S0967-0637(02)00067-5","http://dx.doi.org/10.1016/S0967-0637(02)00067-5")</f>
        <v>http://dx.doi.org/10.1016/S0967-0637(02)00067-5</v>
      </c>
      <c r="BG723" t="s">
        <v>74</v>
      </c>
      <c r="BH723" t="s">
        <v>74</v>
      </c>
      <c r="BI723">
        <v>17</v>
      </c>
      <c r="BJ723" t="s">
        <v>1394</v>
      </c>
      <c r="BK723" t="s">
        <v>569</v>
      </c>
      <c r="BL723" t="s">
        <v>1394</v>
      </c>
      <c r="BM723" t="s">
        <v>10116</v>
      </c>
      <c r="BN723" t="s">
        <v>74</v>
      </c>
      <c r="BO723" t="s">
        <v>794</v>
      </c>
      <c r="BP723" t="s">
        <v>74</v>
      </c>
      <c r="BQ723" t="s">
        <v>74</v>
      </c>
      <c r="BR723" t="s">
        <v>98</v>
      </c>
      <c r="BS723" t="s">
        <v>10117</v>
      </c>
      <c r="BT723" t="str">
        <f>HYPERLINK("https%3A%2F%2Fwww.webofscience.com%2Fwos%2Fwoscc%2Ffull-record%2FWOS:000179282500007","View Full Record in Web of Science")</f>
        <v>View Full Record in Web of Science</v>
      </c>
    </row>
    <row r="724" spans="1:72" x14ac:dyDescent="0.15">
      <c r="A724" t="s">
        <v>552</v>
      </c>
      <c r="B724" t="s">
        <v>10118</v>
      </c>
      <c r="C724" t="s">
        <v>74</v>
      </c>
      <c r="D724" t="s">
        <v>74</v>
      </c>
      <c r="E724" t="s">
        <v>74</v>
      </c>
      <c r="F724" t="s">
        <v>10118</v>
      </c>
      <c r="G724" t="s">
        <v>74</v>
      </c>
      <c r="H724" t="s">
        <v>74</v>
      </c>
      <c r="I724" t="s">
        <v>10119</v>
      </c>
      <c r="J724" t="s">
        <v>1802</v>
      </c>
      <c r="K724" t="s">
        <v>74</v>
      </c>
      <c r="L724" t="s">
        <v>74</v>
      </c>
      <c r="M724" t="s">
        <v>78</v>
      </c>
      <c r="N724" t="s">
        <v>775</v>
      </c>
      <c r="O724" t="s">
        <v>74</v>
      </c>
      <c r="P724" t="s">
        <v>74</v>
      </c>
      <c r="Q724" t="s">
        <v>74</v>
      </c>
      <c r="R724" t="s">
        <v>74</v>
      </c>
      <c r="S724" t="s">
        <v>74</v>
      </c>
      <c r="T724" t="s">
        <v>74</v>
      </c>
      <c r="U724" t="s">
        <v>10120</v>
      </c>
      <c r="V724" t="s">
        <v>74</v>
      </c>
      <c r="W724" t="s">
        <v>10121</v>
      </c>
      <c r="X724" t="s">
        <v>10122</v>
      </c>
      <c r="Y724" t="s">
        <v>10123</v>
      </c>
      <c r="Z724" t="s">
        <v>74</v>
      </c>
      <c r="AA724" t="s">
        <v>74</v>
      </c>
      <c r="AB724" t="s">
        <v>10124</v>
      </c>
      <c r="AC724" t="s">
        <v>74</v>
      </c>
      <c r="AD724" t="s">
        <v>74</v>
      </c>
      <c r="AE724" t="s">
        <v>74</v>
      </c>
      <c r="AF724" t="s">
        <v>74</v>
      </c>
      <c r="AG724">
        <v>14</v>
      </c>
      <c r="AH724">
        <v>2</v>
      </c>
      <c r="AI724">
        <v>2</v>
      </c>
      <c r="AJ724">
        <v>0</v>
      </c>
      <c r="AK724">
        <v>4</v>
      </c>
      <c r="AL724" t="s">
        <v>1807</v>
      </c>
      <c r="AM724" t="s">
        <v>1808</v>
      </c>
      <c r="AN724" t="s">
        <v>1809</v>
      </c>
      <c r="AO724" t="s">
        <v>1810</v>
      </c>
      <c r="AP724" t="s">
        <v>74</v>
      </c>
      <c r="AQ724" t="s">
        <v>74</v>
      </c>
      <c r="AR724" t="s">
        <v>1811</v>
      </c>
      <c r="AS724" t="s">
        <v>1812</v>
      </c>
      <c r="AT724" t="s">
        <v>10125</v>
      </c>
      <c r="AU724">
        <v>2002</v>
      </c>
      <c r="AV724">
        <v>386</v>
      </c>
      <c r="AW724">
        <v>7</v>
      </c>
      <c r="AX724" t="s">
        <v>74</v>
      </c>
      <c r="AY724" t="s">
        <v>74</v>
      </c>
      <c r="AZ724" t="s">
        <v>74</v>
      </c>
      <c r="BA724" t="s">
        <v>74</v>
      </c>
      <c r="BB724">
        <v>804</v>
      </c>
      <c r="BC724">
        <v>808</v>
      </c>
      <c r="BD724" t="s">
        <v>74</v>
      </c>
      <c r="BE724" t="s">
        <v>74</v>
      </c>
      <c r="BF724" t="s">
        <v>74</v>
      </c>
      <c r="BG724" t="s">
        <v>74</v>
      </c>
      <c r="BH724" t="s">
        <v>74</v>
      </c>
      <c r="BI724">
        <v>5</v>
      </c>
      <c r="BJ724" t="s">
        <v>1813</v>
      </c>
      <c r="BK724" t="s">
        <v>569</v>
      </c>
      <c r="BL724" t="s">
        <v>1814</v>
      </c>
      <c r="BM724" t="s">
        <v>10126</v>
      </c>
      <c r="BN724" t="s">
        <v>74</v>
      </c>
      <c r="BO724" t="s">
        <v>74</v>
      </c>
      <c r="BP724" t="s">
        <v>74</v>
      </c>
      <c r="BQ724" t="s">
        <v>74</v>
      </c>
      <c r="BR724" t="s">
        <v>98</v>
      </c>
      <c r="BS724" t="s">
        <v>10127</v>
      </c>
      <c r="BT724" t="str">
        <f>HYPERLINK("https%3A%2F%2Fwww.webofscience.com%2Fwos%2Fwoscc%2Ffull-record%2FWOS:000178630300015","View Full Record in Web of Science")</f>
        <v>View Full Record in Web of Science</v>
      </c>
    </row>
    <row r="725" spans="1:72" x14ac:dyDescent="0.15">
      <c r="A725" t="s">
        <v>552</v>
      </c>
      <c r="B725" t="s">
        <v>10128</v>
      </c>
      <c r="C725" t="s">
        <v>74</v>
      </c>
      <c r="D725" t="s">
        <v>74</v>
      </c>
      <c r="E725" t="s">
        <v>74</v>
      </c>
      <c r="F725" t="s">
        <v>10128</v>
      </c>
      <c r="G725" t="s">
        <v>74</v>
      </c>
      <c r="H725" t="s">
        <v>74</v>
      </c>
      <c r="I725" t="s">
        <v>10129</v>
      </c>
      <c r="J725" t="s">
        <v>1802</v>
      </c>
      <c r="K725" t="s">
        <v>74</v>
      </c>
      <c r="L725" t="s">
        <v>74</v>
      </c>
      <c r="M725" t="s">
        <v>78</v>
      </c>
      <c r="N725" t="s">
        <v>775</v>
      </c>
      <c r="O725" t="s">
        <v>74</v>
      </c>
      <c r="P725" t="s">
        <v>74</v>
      </c>
      <c r="Q725" t="s">
        <v>74</v>
      </c>
      <c r="R725" t="s">
        <v>74</v>
      </c>
      <c r="S725" t="s">
        <v>74</v>
      </c>
      <c r="T725" t="s">
        <v>74</v>
      </c>
      <c r="U725" t="s">
        <v>10130</v>
      </c>
      <c r="V725" t="s">
        <v>74</v>
      </c>
      <c r="W725" t="s">
        <v>10131</v>
      </c>
      <c r="X725" t="s">
        <v>10132</v>
      </c>
      <c r="Y725" t="s">
        <v>10133</v>
      </c>
      <c r="Z725" t="s">
        <v>74</v>
      </c>
      <c r="AA725" t="s">
        <v>74</v>
      </c>
      <c r="AB725" t="s">
        <v>10134</v>
      </c>
      <c r="AC725" t="s">
        <v>74</v>
      </c>
      <c r="AD725" t="s">
        <v>74</v>
      </c>
      <c r="AE725" t="s">
        <v>74</v>
      </c>
      <c r="AF725" t="s">
        <v>74</v>
      </c>
      <c r="AG725">
        <v>11</v>
      </c>
      <c r="AH725">
        <v>1</v>
      </c>
      <c r="AI725">
        <v>1</v>
      </c>
      <c r="AJ725">
        <v>0</v>
      </c>
      <c r="AK725">
        <v>0</v>
      </c>
      <c r="AL725" t="s">
        <v>1807</v>
      </c>
      <c r="AM725" t="s">
        <v>1808</v>
      </c>
      <c r="AN725" t="s">
        <v>1809</v>
      </c>
      <c r="AO725" t="s">
        <v>1810</v>
      </c>
      <c r="AP725" t="s">
        <v>74</v>
      </c>
      <c r="AQ725" t="s">
        <v>74</v>
      </c>
      <c r="AR725" t="s">
        <v>1811</v>
      </c>
      <c r="AS725" t="s">
        <v>1812</v>
      </c>
      <c r="AT725" t="s">
        <v>10125</v>
      </c>
      <c r="AU725">
        <v>2002</v>
      </c>
      <c r="AV725">
        <v>386</v>
      </c>
      <c r="AW725">
        <v>7</v>
      </c>
      <c r="AX725" t="s">
        <v>74</v>
      </c>
      <c r="AY725" t="s">
        <v>74</v>
      </c>
      <c r="AZ725" t="s">
        <v>74</v>
      </c>
      <c r="BA725" t="s">
        <v>74</v>
      </c>
      <c r="BB725">
        <v>821</v>
      </c>
      <c r="BC725">
        <v>826</v>
      </c>
      <c r="BD725" t="s">
        <v>74</v>
      </c>
      <c r="BE725" t="s">
        <v>74</v>
      </c>
      <c r="BF725" t="s">
        <v>74</v>
      </c>
      <c r="BG725" t="s">
        <v>74</v>
      </c>
      <c r="BH725" t="s">
        <v>74</v>
      </c>
      <c r="BI725">
        <v>6</v>
      </c>
      <c r="BJ725" t="s">
        <v>1813</v>
      </c>
      <c r="BK725" t="s">
        <v>569</v>
      </c>
      <c r="BL725" t="s">
        <v>1814</v>
      </c>
      <c r="BM725" t="s">
        <v>10126</v>
      </c>
      <c r="BN725" t="s">
        <v>74</v>
      </c>
      <c r="BO725" t="s">
        <v>74</v>
      </c>
      <c r="BP725" t="s">
        <v>74</v>
      </c>
      <c r="BQ725" t="s">
        <v>74</v>
      </c>
      <c r="BR725" t="s">
        <v>98</v>
      </c>
      <c r="BS725" t="s">
        <v>10135</v>
      </c>
      <c r="BT725" t="str">
        <f>HYPERLINK("https%3A%2F%2Fwww.webofscience.com%2Fwos%2Fwoscc%2Ffull-record%2FWOS:000178630300019","View Full Record in Web of Science")</f>
        <v>View Full Record in Web of Science</v>
      </c>
    </row>
    <row r="726" spans="1:72" x14ac:dyDescent="0.15">
      <c r="A726" t="s">
        <v>552</v>
      </c>
      <c r="B726" t="s">
        <v>10136</v>
      </c>
      <c r="C726" t="s">
        <v>74</v>
      </c>
      <c r="D726" t="s">
        <v>74</v>
      </c>
      <c r="E726" t="s">
        <v>74</v>
      </c>
      <c r="F726" t="s">
        <v>10136</v>
      </c>
      <c r="G726" t="s">
        <v>74</v>
      </c>
      <c r="H726" t="s">
        <v>74</v>
      </c>
      <c r="I726" t="s">
        <v>10137</v>
      </c>
      <c r="J726" t="s">
        <v>1802</v>
      </c>
      <c r="K726" t="s">
        <v>74</v>
      </c>
      <c r="L726" t="s">
        <v>74</v>
      </c>
      <c r="M726" t="s">
        <v>78</v>
      </c>
      <c r="N726" t="s">
        <v>775</v>
      </c>
      <c r="O726" t="s">
        <v>74</v>
      </c>
      <c r="P726" t="s">
        <v>74</v>
      </c>
      <c r="Q726" t="s">
        <v>74</v>
      </c>
      <c r="R726" t="s">
        <v>74</v>
      </c>
      <c r="S726" t="s">
        <v>74</v>
      </c>
      <c r="T726" t="s">
        <v>74</v>
      </c>
      <c r="U726" t="s">
        <v>10138</v>
      </c>
      <c r="V726" t="s">
        <v>74</v>
      </c>
      <c r="W726" t="s">
        <v>10139</v>
      </c>
      <c r="X726" t="s">
        <v>10140</v>
      </c>
      <c r="Y726" t="s">
        <v>10141</v>
      </c>
      <c r="Z726" t="s">
        <v>74</v>
      </c>
      <c r="AA726" t="s">
        <v>10142</v>
      </c>
      <c r="AB726" t="s">
        <v>10143</v>
      </c>
      <c r="AC726" t="s">
        <v>74</v>
      </c>
      <c r="AD726" t="s">
        <v>74</v>
      </c>
      <c r="AE726" t="s">
        <v>74</v>
      </c>
      <c r="AF726" t="s">
        <v>74</v>
      </c>
      <c r="AG726">
        <v>15</v>
      </c>
      <c r="AH726">
        <v>0</v>
      </c>
      <c r="AI726">
        <v>0</v>
      </c>
      <c r="AJ726">
        <v>0</v>
      </c>
      <c r="AK726">
        <v>0</v>
      </c>
      <c r="AL726" t="s">
        <v>1807</v>
      </c>
      <c r="AM726" t="s">
        <v>1808</v>
      </c>
      <c r="AN726" t="s">
        <v>1809</v>
      </c>
      <c r="AO726" t="s">
        <v>1810</v>
      </c>
      <c r="AP726" t="s">
        <v>74</v>
      </c>
      <c r="AQ726" t="s">
        <v>74</v>
      </c>
      <c r="AR726" t="s">
        <v>1811</v>
      </c>
      <c r="AS726" t="s">
        <v>1812</v>
      </c>
      <c r="AT726" t="s">
        <v>10125</v>
      </c>
      <c r="AU726">
        <v>2002</v>
      </c>
      <c r="AV726">
        <v>386</v>
      </c>
      <c r="AW726">
        <v>7</v>
      </c>
      <c r="AX726" t="s">
        <v>74</v>
      </c>
      <c r="AY726" t="s">
        <v>74</v>
      </c>
      <c r="AZ726" t="s">
        <v>74</v>
      </c>
      <c r="BA726" t="s">
        <v>74</v>
      </c>
      <c r="BB726">
        <v>851</v>
      </c>
      <c r="BC726">
        <v>854</v>
      </c>
      <c r="BD726" t="s">
        <v>74</v>
      </c>
      <c r="BE726" t="s">
        <v>74</v>
      </c>
      <c r="BF726" t="s">
        <v>74</v>
      </c>
      <c r="BG726" t="s">
        <v>74</v>
      </c>
      <c r="BH726" t="s">
        <v>74</v>
      </c>
      <c r="BI726">
        <v>4</v>
      </c>
      <c r="BJ726" t="s">
        <v>1813</v>
      </c>
      <c r="BK726" t="s">
        <v>569</v>
      </c>
      <c r="BL726" t="s">
        <v>1814</v>
      </c>
      <c r="BM726" t="s">
        <v>10126</v>
      </c>
      <c r="BN726" t="s">
        <v>74</v>
      </c>
      <c r="BO726" t="s">
        <v>74</v>
      </c>
      <c r="BP726" t="s">
        <v>74</v>
      </c>
      <c r="BQ726" t="s">
        <v>74</v>
      </c>
      <c r="BR726" t="s">
        <v>98</v>
      </c>
      <c r="BS726" t="s">
        <v>10144</v>
      </c>
      <c r="BT726" t="str">
        <f>HYPERLINK("https%3A%2F%2Fwww.webofscience.com%2Fwos%2Fwoscc%2Ffull-record%2FWOS:000178630300026","View Full Record in Web of Science")</f>
        <v>View Full Record in Web of Science</v>
      </c>
    </row>
    <row r="727" spans="1:72" x14ac:dyDescent="0.15">
      <c r="A727" t="s">
        <v>552</v>
      </c>
      <c r="B727" t="s">
        <v>10145</v>
      </c>
      <c r="C727" t="s">
        <v>74</v>
      </c>
      <c r="D727" t="s">
        <v>74</v>
      </c>
      <c r="E727" t="s">
        <v>74</v>
      </c>
      <c r="F727" t="s">
        <v>10145</v>
      </c>
      <c r="G727" t="s">
        <v>74</v>
      </c>
      <c r="H727" t="s">
        <v>74</v>
      </c>
      <c r="I727" t="s">
        <v>10146</v>
      </c>
      <c r="J727" t="s">
        <v>10147</v>
      </c>
      <c r="K727" t="s">
        <v>74</v>
      </c>
      <c r="L727" t="s">
        <v>74</v>
      </c>
      <c r="M727" t="s">
        <v>78</v>
      </c>
      <c r="N727" t="s">
        <v>775</v>
      </c>
      <c r="O727" t="s">
        <v>74</v>
      </c>
      <c r="P727" t="s">
        <v>74</v>
      </c>
      <c r="Q727" t="s">
        <v>74</v>
      </c>
      <c r="R727" t="s">
        <v>74</v>
      </c>
      <c r="S727" t="s">
        <v>74</v>
      </c>
      <c r="T727" t="s">
        <v>74</v>
      </c>
      <c r="U727" t="s">
        <v>10148</v>
      </c>
      <c r="V727" t="s">
        <v>10149</v>
      </c>
      <c r="W727" t="s">
        <v>10150</v>
      </c>
      <c r="X727" t="s">
        <v>10151</v>
      </c>
      <c r="Y727" t="s">
        <v>10152</v>
      </c>
      <c r="Z727" t="s">
        <v>74</v>
      </c>
      <c r="AA727" t="s">
        <v>10153</v>
      </c>
      <c r="AB727" t="s">
        <v>10154</v>
      </c>
      <c r="AC727" t="s">
        <v>74</v>
      </c>
      <c r="AD727" t="s">
        <v>74</v>
      </c>
      <c r="AE727" t="s">
        <v>74</v>
      </c>
      <c r="AF727" t="s">
        <v>74</v>
      </c>
      <c r="AG727">
        <v>53</v>
      </c>
      <c r="AH727">
        <v>16</v>
      </c>
      <c r="AI727">
        <v>17</v>
      </c>
      <c r="AJ727">
        <v>1</v>
      </c>
      <c r="AK727">
        <v>4</v>
      </c>
      <c r="AL727" t="s">
        <v>10155</v>
      </c>
      <c r="AM727" t="s">
        <v>10156</v>
      </c>
      <c r="AN727" t="s">
        <v>10157</v>
      </c>
      <c r="AO727" t="s">
        <v>10158</v>
      </c>
      <c r="AP727" t="s">
        <v>74</v>
      </c>
      <c r="AQ727" t="s">
        <v>74</v>
      </c>
      <c r="AR727" t="s">
        <v>10159</v>
      </c>
      <c r="AS727" t="s">
        <v>10160</v>
      </c>
      <c r="AT727" t="s">
        <v>9785</v>
      </c>
      <c r="AU727">
        <v>2002</v>
      </c>
      <c r="AV727">
        <v>34</v>
      </c>
      <c r="AW727">
        <v>5</v>
      </c>
      <c r="AX727" t="s">
        <v>74</v>
      </c>
      <c r="AY727" t="s">
        <v>74</v>
      </c>
      <c r="AZ727" t="s">
        <v>74</v>
      </c>
      <c r="BA727" t="s">
        <v>74</v>
      </c>
      <c r="BB727">
        <v>672</v>
      </c>
      <c r="BC727">
        <v>700</v>
      </c>
      <c r="BD727" t="s">
        <v>74</v>
      </c>
      <c r="BE727" t="s">
        <v>10161</v>
      </c>
      <c r="BF727" t="str">
        <f>HYPERLINK("http://dx.doi.org/10.1177/0013916502034005006","http://dx.doi.org/10.1177/0013916502034005006")</f>
        <v>http://dx.doi.org/10.1177/0013916502034005006</v>
      </c>
      <c r="BG727" t="s">
        <v>74</v>
      </c>
      <c r="BH727" t="s">
        <v>74</v>
      </c>
      <c r="BI727">
        <v>29</v>
      </c>
      <c r="BJ727" t="s">
        <v>10162</v>
      </c>
      <c r="BK727" t="s">
        <v>4745</v>
      </c>
      <c r="BL727" t="s">
        <v>10163</v>
      </c>
      <c r="BM727" t="s">
        <v>10164</v>
      </c>
      <c r="BN727">
        <v>12481801</v>
      </c>
      <c r="BO727" t="s">
        <v>74</v>
      </c>
      <c r="BP727" t="s">
        <v>74</v>
      </c>
      <c r="BQ727" t="s">
        <v>74</v>
      </c>
      <c r="BR727" t="s">
        <v>98</v>
      </c>
      <c r="BS727" t="s">
        <v>10165</v>
      </c>
      <c r="BT727" t="str">
        <f>HYPERLINK("https%3A%2F%2Fwww.webofscience.com%2Fwos%2Fwoscc%2Ffull-record%2FWOS:000177358200006","View Full Record in Web of Science")</f>
        <v>View Full Record in Web of Science</v>
      </c>
    </row>
    <row r="728" spans="1:72" x14ac:dyDescent="0.15">
      <c r="A728" t="s">
        <v>552</v>
      </c>
      <c r="B728" t="s">
        <v>10166</v>
      </c>
      <c r="C728" t="s">
        <v>74</v>
      </c>
      <c r="D728" t="s">
        <v>74</v>
      </c>
      <c r="E728" t="s">
        <v>74</v>
      </c>
      <c r="F728" t="s">
        <v>10166</v>
      </c>
      <c r="G728" t="s">
        <v>74</v>
      </c>
      <c r="H728" t="s">
        <v>74</v>
      </c>
      <c r="I728" t="s">
        <v>10167</v>
      </c>
      <c r="J728" t="s">
        <v>10168</v>
      </c>
      <c r="K728" t="s">
        <v>74</v>
      </c>
      <c r="L728" t="s">
        <v>74</v>
      </c>
      <c r="M728" t="s">
        <v>78</v>
      </c>
      <c r="N728" t="s">
        <v>775</v>
      </c>
      <c r="O728" t="s">
        <v>74</v>
      </c>
      <c r="P728" t="s">
        <v>74</v>
      </c>
      <c r="Q728" t="s">
        <v>74</v>
      </c>
      <c r="R728" t="s">
        <v>74</v>
      </c>
      <c r="S728" t="s">
        <v>74</v>
      </c>
      <c r="T728" t="s">
        <v>10169</v>
      </c>
      <c r="U728" t="s">
        <v>10170</v>
      </c>
      <c r="V728" t="s">
        <v>10171</v>
      </c>
      <c r="W728" t="s">
        <v>10172</v>
      </c>
      <c r="X728" t="s">
        <v>10173</v>
      </c>
      <c r="Y728" t="s">
        <v>10174</v>
      </c>
      <c r="Z728" t="s">
        <v>10175</v>
      </c>
      <c r="AA728" t="s">
        <v>74</v>
      </c>
      <c r="AB728" t="s">
        <v>10176</v>
      </c>
      <c r="AC728" t="s">
        <v>74</v>
      </c>
      <c r="AD728" t="s">
        <v>74</v>
      </c>
      <c r="AE728" t="s">
        <v>74</v>
      </c>
      <c r="AF728" t="s">
        <v>74</v>
      </c>
      <c r="AG728">
        <v>75</v>
      </c>
      <c r="AH728">
        <v>31</v>
      </c>
      <c r="AI728">
        <v>32</v>
      </c>
      <c r="AJ728">
        <v>0</v>
      </c>
      <c r="AK728">
        <v>7</v>
      </c>
      <c r="AL728" t="s">
        <v>560</v>
      </c>
      <c r="AM728" t="s">
        <v>561</v>
      </c>
      <c r="AN728" t="s">
        <v>603</v>
      </c>
      <c r="AO728" t="s">
        <v>10177</v>
      </c>
      <c r="AP728" t="s">
        <v>10178</v>
      </c>
      <c r="AQ728" t="s">
        <v>74</v>
      </c>
      <c r="AR728" t="s">
        <v>10179</v>
      </c>
      <c r="AS728" t="s">
        <v>10180</v>
      </c>
      <c r="AT728" t="s">
        <v>9785</v>
      </c>
      <c r="AU728">
        <v>2002</v>
      </c>
      <c r="AV728">
        <v>139</v>
      </c>
      <c r="AW728">
        <v>5</v>
      </c>
      <c r="AX728" t="s">
        <v>74</v>
      </c>
      <c r="AY728" t="s">
        <v>74</v>
      </c>
      <c r="AZ728" t="s">
        <v>74</v>
      </c>
      <c r="BA728" t="s">
        <v>74</v>
      </c>
      <c r="BB728">
        <v>525</v>
      </c>
      <c r="BC728">
        <v>539</v>
      </c>
      <c r="BD728" t="s">
        <v>74</v>
      </c>
      <c r="BE728" t="s">
        <v>10181</v>
      </c>
      <c r="BF728" t="str">
        <f>HYPERLINK("http://dx.doi.org/10.1017/S001675680200674X","http://dx.doi.org/10.1017/S001675680200674X")</f>
        <v>http://dx.doi.org/10.1017/S001675680200674X</v>
      </c>
      <c r="BG728" t="s">
        <v>74</v>
      </c>
      <c r="BH728" t="s">
        <v>74</v>
      </c>
      <c r="BI728">
        <v>15</v>
      </c>
      <c r="BJ728" t="s">
        <v>1813</v>
      </c>
      <c r="BK728" t="s">
        <v>569</v>
      </c>
      <c r="BL728" t="s">
        <v>1814</v>
      </c>
      <c r="BM728" t="s">
        <v>10182</v>
      </c>
      <c r="BN728" t="s">
        <v>74</v>
      </c>
      <c r="BO728" t="s">
        <v>74</v>
      </c>
      <c r="BP728" t="s">
        <v>74</v>
      </c>
      <c r="BQ728" t="s">
        <v>74</v>
      </c>
      <c r="BR728" t="s">
        <v>98</v>
      </c>
      <c r="BS728" t="s">
        <v>10183</v>
      </c>
      <c r="BT728" t="str">
        <f>HYPERLINK("https%3A%2F%2Fwww.webofscience.com%2Fwos%2Fwoscc%2Ffull-record%2FWOS:000180502600003","View Full Record in Web of Science")</f>
        <v>View Full Record in Web of Science</v>
      </c>
    </row>
    <row r="729" spans="1:72" x14ac:dyDescent="0.15">
      <c r="A729" t="s">
        <v>552</v>
      </c>
      <c r="B729" t="s">
        <v>10184</v>
      </c>
      <c r="C729" t="s">
        <v>74</v>
      </c>
      <c r="D729" t="s">
        <v>74</v>
      </c>
      <c r="E729" t="s">
        <v>74</v>
      </c>
      <c r="F729" t="s">
        <v>10184</v>
      </c>
      <c r="G729" t="s">
        <v>74</v>
      </c>
      <c r="H729" t="s">
        <v>74</v>
      </c>
      <c r="I729" t="s">
        <v>10185</v>
      </c>
      <c r="J729" t="s">
        <v>10168</v>
      </c>
      <c r="K729" t="s">
        <v>74</v>
      </c>
      <c r="L729" t="s">
        <v>74</v>
      </c>
      <c r="M729" t="s">
        <v>78</v>
      </c>
      <c r="N729" t="s">
        <v>775</v>
      </c>
      <c r="O729" t="s">
        <v>74</v>
      </c>
      <c r="P729" t="s">
        <v>74</v>
      </c>
      <c r="Q729" t="s">
        <v>74</v>
      </c>
      <c r="R729" t="s">
        <v>74</v>
      </c>
      <c r="S729" t="s">
        <v>74</v>
      </c>
      <c r="T729" t="s">
        <v>10186</v>
      </c>
      <c r="U729" t="s">
        <v>10187</v>
      </c>
      <c r="V729" t="s">
        <v>10188</v>
      </c>
      <c r="W729" t="s">
        <v>10189</v>
      </c>
      <c r="X729" t="s">
        <v>10190</v>
      </c>
      <c r="Y729" t="s">
        <v>10191</v>
      </c>
      <c r="Z729" t="s">
        <v>74</v>
      </c>
      <c r="AA729" t="s">
        <v>10192</v>
      </c>
      <c r="AB729" t="s">
        <v>10193</v>
      </c>
      <c r="AC729" t="s">
        <v>74</v>
      </c>
      <c r="AD729" t="s">
        <v>74</v>
      </c>
      <c r="AE729" t="s">
        <v>74</v>
      </c>
      <c r="AF729" t="s">
        <v>74</v>
      </c>
      <c r="AG729">
        <v>66</v>
      </c>
      <c r="AH729">
        <v>38</v>
      </c>
      <c r="AI729">
        <v>42</v>
      </c>
      <c r="AJ729">
        <v>1</v>
      </c>
      <c r="AK729">
        <v>6</v>
      </c>
      <c r="AL729" t="s">
        <v>560</v>
      </c>
      <c r="AM729" t="s">
        <v>561</v>
      </c>
      <c r="AN729" t="s">
        <v>603</v>
      </c>
      <c r="AO729" t="s">
        <v>10177</v>
      </c>
      <c r="AP729" t="s">
        <v>10178</v>
      </c>
      <c r="AQ729" t="s">
        <v>74</v>
      </c>
      <c r="AR729" t="s">
        <v>10179</v>
      </c>
      <c r="AS729" t="s">
        <v>10180</v>
      </c>
      <c r="AT729" t="s">
        <v>9785</v>
      </c>
      <c r="AU729">
        <v>2002</v>
      </c>
      <c r="AV729">
        <v>139</v>
      </c>
      <c r="AW729">
        <v>5</v>
      </c>
      <c r="AX729" t="s">
        <v>74</v>
      </c>
      <c r="AY729" t="s">
        <v>74</v>
      </c>
      <c r="AZ729" t="s">
        <v>74</v>
      </c>
      <c r="BA729" t="s">
        <v>74</v>
      </c>
      <c r="BB729">
        <v>577</v>
      </c>
      <c r="BC729">
        <v>594</v>
      </c>
      <c r="BD729" t="s">
        <v>74</v>
      </c>
      <c r="BE729" t="s">
        <v>74</v>
      </c>
      <c r="BF729" t="s">
        <v>74</v>
      </c>
      <c r="BG729" t="s">
        <v>74</v>
      </c>
      <c r="BH729" t="s">
        <v>74</v>
      </c>
      <c r="BI729">
        <v>18</v>
      </c>
      <c r="BJ729" t="s">
        <v>1813</v>
      </c>
      <c r="BK729" t="s">
        <v>569</v>
      </c>
      <c r="BL729" t="s">
        <v>1814</v>
      </c>
      <c r="BM729" t="s">
        <v>10182</v>
      </c>
      <c r="BN729" t="s">
        <v>74</v>
      </c>
      <c r="BO729" t="s">
        <v>74</v>
      </c>
      <c r="BP729" t="s">
        <v>74</v>
      </c>
      <c r="BQ729" t="s">
        <v>74</v>
      </c>
      <c r="BR729" t="s">
        <v>98</v>
      </c>
      <c r="BS729" t="s">
        <v>10194</v>
      </c>
      <c r="BT729" t="str">
        <f>HYPERLINK("https%3A%2F%2Fwww.webofscience.com%2Fwos%2Fwoscc%2Ffull-record%2FWOS:000180502600006","View Full Record in Web of Science")</f>
        <v>View Full Record in Web of Science</v>
      </c>
    </row>
    <row r="730" spans="1:72" x14ac:dyDescent="0.15">
      <c r="A730" t="s">
        <v>552</v>
      </c>
      <c r="B730" t="s">
        <v>10195</v>
      </c>
      <c r="C730" t="s">
        <v>74</v>
      </c>
      <c r="D730" t="s">
        <v>74</v>
      </c>
      <c r="E730" t="s">
        <v>74</v>
      </c>
      <c r="F730" t="s">
        <v>10195</v>
      </c>
      <c r="G730" t="s">
        <v>74</v>
      </c>
      <c r="H730" t="s">
        <v>74</v>
      </c>
      <c r="I730" t="s">
        <v>10196</v>
      </c>
      <c r="J730" t="s">
        <v>10197</v>
      </c>
      <c r="K730" t="s">
        <v>74</v>
      </c>
      <c r="L730" t="s">
        <v>74</v>
      </c>
      <c r="M730" t="s">
        <v>78</v>
      </c>
      <c r="N730" t="s">
        <v>556</v>
      </c>
      <c r="O730" t="s">
        <v>74</v>
      </c>
      <c r="P730" t="s">
        <v>74</v>
      </c>
      <c r="Q730" t="s">
        <v>74</v>
      </c>
      <c r="R730" t="s">
        <v>74</v>
      </c>
      <c r="S730" t="s">
        <v>74</v>
      </c>
      <c r="T730" t="s">
        <v>10198</v>
      </c>
      <c r="U730" t="s">
        <v>74</v>
      </c>
      <c r="V730" t="s">
        <v>74</v>
      </c>
      <c r="W730" t="s">
        <v>74</v>
      </c>
      <c r="X730" t="s">
        <v>74</v>
      </c>
      <c r="Y730" t="s">
        <v>10199</v>
      </c>
      <c r="Z730" t="s">
        <v>10200</v>
      </c>
      <c r="AA730" t="s">
        <v>74</v>
      </c>
      <c r="AB730" t="s">
        <v>74</v>
      </c>
      <c r="AC730" t="s">
        <v>74</v>
      </c>
      <c r="AD730" t="s">
        <v>74</v>
      </c>
      <c r="AE730" t="s">
        <v>74</v>
      </c>
      <c r="AF730" t="s">
        <v>74</v>
      </c>
      <c r="AG730">
        <v>5</v>
      </c>
      <c r="AH730">
        <v>2</v>
      </c>
      <c r="AI730">
        <v>2</v>
      </c>
      <c r="AJ730">
        <v>0</v>
      </c>
      <c r="AK730">
        <v>1</v>
      </c>
      <c r="AL730" t="s">
        <v>7521</v>
      </c>
      <c r="AM730" t="s">
        <v>7142</v>
      </c>
      <c r="AN730" t="s">
        <v>7522</v>
      </c>
      <c r="AO730" t="s">
        <v>10201</v>
      </c>
      <c r="AP730" t="s">
        <v>74</v>
      </c>
      <c r="AQ730" t="s">
        <v>74</v>
      </c>
      <c r="AR730" t="s">
        <v>10202</v>
      </c>
      <c r="AS730" t="s">
        <v>10203</v>
      </c>
      <c r="AT730" t="s">
        <v>9785</v>
      </c>
      <c r="AU730">
        <v>2002</v>
      </c>
      <c r="AV730">
        <v>114</v>
      </c>
      <c r="AW730">
        <v>9</v>
      </c>
      <c r="AX730" t="s">
        <v>74</v>
      </c>
      <c r="AY730" t="s">
        <v>74</v>
      </c>
      <c r="AZ730" t="s">
        <v>74</v>
      </c>
      <c r="BA730" t="s">
        <v>74</v>
      </c>
      <c r="BB730">
        <v>1178</v>
      </c>
      <c r="BC730">
        <v>1179</v>
      </c>
      <c r="BD730" t="s">
        <v>74</v>
      </c>
      <c r="BE730" t="s">
        <v>74</v>
      </c>
      <c r="BF730" t="s">
        <v>74</v>
      </c>
      <c r="BG730" t="s">
        <v>74</v>
      </c>
      <c r="BH730" t="s">
        <v>74</v>
      </c>
      <c r="BI730">
        <v>2</v>
      </c>
      <c r="BJ730" t="s">
        <v>1813</v>
      </c>
      <c r="BK730" t="s">
        <v>569</v>
      </c>
      <c r="BL730" t="s">
        <v>1814</v>
      </c>
      <c r="BM730" t="s">
        <v>10204</v>
      </c>
      <c r="BN730" t="s">
        <v>74</v>
      </c>
      <c r="BO730" t="s">
        <v>74</v>
      </c>
      <c r="BP730" t="s">
        <v>74</v>
      </c>
      <c r="BQ730" t="s">
        <v>74</v>
      </c>
      <c r="BR730" t="s">
        <v>98</v>
      </c>
      <c r="BS730" t="s">
        <v>10205</v>
      </c>
      <c r="BT730" t="str">
        <f>HYPERLINK("https%3A%2F%2Fwww.webofscience.com%2Fwos%2Fwoscc%2Ffull-record%2FWOS:000177938100010","View Full Record in Web of Science")</f>
        <v>View Full Record in Web of Science</v>
      </c>
    </row>
    <row r="731" spans="1:72" x14ac:dyDescent="0.15">
      <c r="A731" t="s">
        <v>552</v>
      </c>
      <c r="B731" t="s">
        <v>10206</v>
      </c>
      <c r="C731" t="s">
        <v>74</v>
      </c>
      <c r="D731" t="s">
        <v>74</v>
      </c>
      <c r="E731" t="s">
        <v>74</v>
      </c>
      <c r="F731" t="s">
        <v>10206</v>
      </c>
      <c r="G731" t="s">
        <v>74</v>
      </c>
      <c r="H731" t="s">
        <v>74</v>
      </c>
      <c r="I731" t="s">
        <v>10207</v>
      </c>
      <c r="J731" t="s">
        <v>7512</v>
      </c>
      <c r="K731" t="s">
        <v>74</v>
      </c>
      <c r="L731" t="s">
        <v>74</v>
      </c>
      <c r="M731" t="s">
        <v>78</v>
      </c>
      <c r="N731" t="s">
        <v>775</v>
      </c>
      <c r="O731" t="s">
        <v>74</v>
      </c>
      <c r="P731" t="s">
        <v>74</v>
      </c>
      <c r="Q731" t="s">
        <v>74</v>
      </c>
      <c r="R731" t="s">
        <v>74</v>
      </c>
      <c r="S731" t="s">
        <v>74</v>
      </c>
      <c r="T731" t="s">
        <v>10208</v>
      </c>
      <c r="U731" t="s">
        <v>10209</v>
      </c>
      <c r="V731" t="s">
        <v>10210</v>
      </c>
      <c r="W731" t="s">
        <v>10211</v>
      </c>
      <c r="X731" t="s">
        <v>10212</v>
      </c>
      <c r="Y731" t="s">
        <v>10213</v>
      </c>
      <c r="Z731" t="s">
        <v>74</v>
      </c>
      <c r="AA731" t="s">
        <v>10214</v>
      </c>
      <c r="AB731" t="s">
        <v>10215</v>
      </c>
      <c r="AC731" t="s">
        <v>74</v>
      </c>
      <c r="AD731" t="s">
        <v>74</v>
      </c>
      <c r="AE731" t="s">
        <v>74</v>
      </c>
      <c r="AF731" t="s">
        <v>74</v>
      </c>
      <c r="AG731">
        <v>21</v>
      </c>
      <c r="AH731">
        <v>24</v>
      </c>
      <c r="AI731">
        <v>26</v>
      </c>
      <c r="AJ731">
        <v>0</v>
      </c>
      <c r="AK731">
        <v>9</v>
      </c>
      <c r="AL731" t="s">
        <v>10216</v>
      </c>
      <c r="AM731" t="s">
        <v>7142</v>
      </c>
      <c r="AN731" t="s">
        <v>7522</v>
      </c>
      <c r="AO731" t="s">
        <v>7523</v>
      </c>
      <c r="AP731" t="s">
        <v>74</v>
      </c>
      <c r="AQ731" t="s">
        <v>74</v>
      </c>
      <c r="AR731" t="s">
        <v>7512</v>
      </c>
      <c r="AS731" t="s">
        <v>1814</v>
      </c>
      <c r="AT731" t="s">
        <v>9785</v>
      </c>
      <c r="AU731">
        <v>2002</v>
      </c>
      <c r="AV731">
        <v>30</v>
      </c>
      <c r="AW731">
        <v>9</v>
      </c>
      <c r="AX731" t="s">
        <v>74</v>
      </c>
      <c r="AY731" t="s">
        <v>74</v>
      </c>
      <c r="AZ731" t="s">
        <v>74</v>
      </c>
      <c r="BA731" t="s">
        <v>74</v>
      </c>
      <c r="BB731">
        <v>819</v>
      </c>
      <c r="BC731">
        <v>822</v>
      </c>
      <c r="BD731" t="s">
        <v>74</v>
      </c>
      <c r="BE731" t="s">
        <v>10217</v>
      </c>
      <c r="BF731" t="str">
        <f>HYPERLINK("http://dx.doi.org/10.1130/0091-7613(2002)030&lt;0819:SOIAIF&gt;2.0.CO;2","http://dx.doi.org/10.1130/0091-7613(2002)030&lt;0819:SOIAIF&gt;2.0.CO;2")</f>
        <v>http://dx.doi.org/10.1130/0091-7613(2002)030&lt;0819:SOIAIF&gt;2.0.CO;2</v>
      </c>
      <c r="BG731" t="s">
        <v>74</v>
      </c>
      <c r="BH731" t="s">
        <v>74</v>
      </c>
      <c r="BI731">
        <v>4</v>
      </c>
      <c r="BJ731" t="s">
        <v>1814</v>
      </c>
      <c r="BK731" t="s">
        <v>569</v>
      </c>
      <c r="BL731" t="s">
        <v>1814</v>
      </c>
      <c r="BM731" t="s">
        <v>10218</v>
      </c>
      <c r="BN731" t="s">
        <v>74</v>
      </c>
      <c r="BO731" t="s">
        <v>74</v>
      </c>
      <c r="BP731" t="s">
        <v>74</v>
      </c>
      <c r="BQ731" t="s">
        <v>74</v>
      </c>
      <c r="BR731" t="s">
        <v>98</v>
      </c>
      <c r="BS731" t="s">
        <v>10219</v>
      </c>
      <c r="BT731" t="str">
        <f>HYPERLINK("https%3A%2F%2Fwww.webofscience.com%2Fwos%2Fwoscc%2Ffull-record%2FWOS:000177937900014","View Full Record in Web of Science")</f>
        <v>View Full Record in Web of Science</v>
      </c>
    </row>
    <row r="732" spans="1:72" x14ac:dyDescent="0.15">
      <c r="A732" t="s">
        <v>552</v>
      </c>
      <c r="B732" t="s">
        <v>10220</v>
      </c>
      <c r="C732" t="s">
        <v>74</v>
      </c>
      <c r="D732" t="s">
        <v>74</v>
      </c>
      <c r="E732" t="s">
        <v>74</v>
      </c>
      <c r="F732" t="s">
        <v>10220</v>
      </c>
      <c r="G732" t="s">
        <v>74</v>
      </c>
      <c r="H732" t="s">
        <v>74</v>
      </c>
      <c r="I732" t="s">
        <v>10221</v>
      </c>
      <c r="J732" t="s">
        <v>8842</v>
      </c>
      <c r="K732" t="s">
        <v>74</v>
      </c>
      <c r="L732" t="s">
        <v>74</v>
      </c>
      <c r="M732" t="s">
        <v>78</v>
      </c>
      <c r="N732" t="s">
        <v>1114</v>
      </c>
      <c r="O732" t="s">
        <v>74</v>
      </c>
      <c r="P732" t="s">
        <v>74</v>
      </c>
      <c r="Q732" t="s">
        <v>74</v>
      </c>
      <c r="R732" t="s">
        <v>74</v>
      </c>
      <c r="S732" t="s">
        <v>74</v>
      </c>
      <c r="T732" t="s">
        <v>74</v>
      </c>
      <c r="U732" t="s">
        <v>10222</v>
      </c>
      <c r="V732" t="s">
        <v>10223</v>
      </c>
      <c r="W732" t="s">
        <v>10224</v>
      </c>
      <c r="X732" t="s">
        <v>10225</v>
      </c>
      <c r="Y732" t="s">
        <v>10226</v>
      </c>
      <c r="Z732" t="s">
        <v>10227</v>
      </c>
      <c r="AA732" t="s">
        <v>10228</v>
      </c>
      <c r="AB732" t="s">
        <v>10229</v>
      </c>
      <c r="AC732" t="s">
        <v>74</v>
      </c>
      <c r="AD732" t="s">
        <v>74</v>
      </c>
      <c r="AE732" t="s">
        <v>74</v>
      </c>
      <c r="AF732" t="s">
        <v>74</v>
      </c>
      <c r="AG732">
        <v>118</v>
      </c>
      <c r="AH732">
        <v>245</v>
      </c>
      <c r="AI732">
        <v>275</v>
      </c>
      <c r="AJ732">
        <v>3</v>
      </c>
      <c r="AK732">
        <v>31</v>
      </c>
      <c r="AL732" t="s">
        <v>387</v>
      </c>
      <c r="AM732" t="s">
        <v>388</v>
      </c>
      <c r="AN732" t="s">
        <v>389</v>
      </c>
      <c r="AO732" t="s">
        <v>8852</v>
      </c>
      <c r="AP732" t="s">
        <v>8853</v>
      </c>
      <c r="AQ732" t="s">
        <v>74</v>
      </c>
      <c r="AR732" t="s">
        <v>8854</v>
      </c>
      <c r="AS732" t="s">
        <v>8855</v>
      </c>
      <c r="AT732" t="s">
        <v>9785</v>
      </c>
      <c r="AU732">
        <v>2002</v>
      </c>
      <c r="AV732">
        <v>16</v>
      </c>
      <c r="AW732">
        <v>3</v>
      </c>
      <c r="AX732" t="s">
        <v>74</v>
      </c>
      <c r="AY732" t="s">
        <v>74</v>
      </c>
      <c r="AZ732" t="s">
        <v>74</v>
      </c>
      <c r="BA732" t="s">
        <v>74</v>
      </c>
      <c r="BB732" t="s">
        <v>74</v>
      </c>
      <c r="BC732" t="s">
        <v>74</v>
      </c>
      <c r="BD732">
        <v>1048</v>
      </c>
      <c r="BE732" t="s">
        <v>10230</v>
      </c>
      <c r="BF732" t="str">
        <f>HYPERLINK("http://dx.doi.org/10.1029/2001GB001466","http://dx.doi.org/10.1029/2001GB001466")</f>
        <v>http://dx.doi.org/10.1029/2001GB001466</v>
      </c>
      <c r="BG732" t="s">
        <v>74</v>
      </c>
      <c r="BH732" t="s">
        <v>74</v>
      </c>
      <c r="BI732">
        <v>22</v>
      </c>
      <c r="BJ732" t="s">
        <v>8858</v>
      </c>
      <c r="BK732" t="s">
        <v>569</v>
      </c>
      <c r="BL732" t="s">
        <v>8859</v>
      </c>
      <c r="BM732" t="s">
        <v>10231</v>
      </c>
      <c r="BN732" t="s">
        <v>74</v>
      </c>
      <c r="BO732" t="s">
        <v>572</v>
      </c>
      <c r="BP732" t="s">
        <v>74</v>
      </c>
      <c r="BQ732" t="s">
        <v>74</v>
      </c>
      <c r="BR732" t="s">
        <v>98</v>
      </c>
      <c r="BS732" t="s">
        <v>10232</v>
      </c>
      <c r="BT732" t="str">
        <f>HYPERLINK("https%3A%2F%2Fwww.webofscience.com%2Fwos%2Fwoscc%2Ffull-record%2FWOS:000180644000003","View Full Record in Web of Science")</f>
        <v>View Full Record in Web of Science</v>
      </c>
    </row>
    <row r="733" spans="1:72" x14ac:dyDescent="0.15">
      <c r="A733" t="s">
        <v>552</v>
      </c>
      <c r="B733" t="s">
        <v>10233</v>
      </c>
      <c r="C733" t="s">
        <v>74</v>
      </c>
      <c r="D733" t="s">
        <v>74</v>
      </c>
      <c r="E733" t="s">
        <v>74</v>
      </c>
      <c r="F733" t="s">
        <v>10233</v>
      </c>
      <c r="G733" t="s">
        <v>74</v>
      </c>
      <c r="H733" t="s">
        <v>74</v>
      </c>
      <c r="I733" t="s">
        <v>10234</v>
      </c>
      <c r="J733" t="s">
        <v>2431</v>
      </c>
      <c r="K733" t="s">
        <v>74</v>
      </c>
      <c r="L733" t="s">
        <v>74</v>
      </c>
      <c r="M733" t="s">
        <v>78</v>
      </c>
      <c r="N733" t="s">
        <v>775</v>
      </c>
      <c r="O733" t="s">
        <v>74</v>
      </c>
      <c r="P733" t="s">
        <v>74</v>
      </c>
      <c r="Q733" t="s">
        <v>74</v>
      </c>
      <c r="R733" t="s">
        <v>74</v>
      </c>
      <c r="S733" t="s">
        <v>74</v>
      </c>
      <c r="T733" t="s">
        <v>10235</v>
      </c>
      <c r="U733" t="s">
        <v>10236</v>
      </c>
      <c r="V733" t="s">
        <v>10237</v>
      </c>
      <c r="W733" t="s">
        <v>10238</v>
      </c>
      <c r="X733" t="s">
        <v>170</v>
      </c>
      <c r="Y733" t="s">
        <v>10239</v>
      </c>
      <c r="Z733" t="s">
        <v>74</v>
      </c>
      <c r="AA733" t="s">
        <v>10240</v>
      </c>
      <c r="AB733" t="s">
        <v>10241</v>
      </c>
      <c r="AC733" t="s">
        <v>74</v>
      </c>
      <c r="AD733" t="s">
        <v>74</v>
      </c>
      <c r="AE733" t="s">
        <v>74</v>
      </c>
      <c r="AF733" t="s">
        <v>74</v>
      </c>
      <c r="AG733">
        <v>23</v>
      </c>
      <c r="AH733">
        <v>78</v>
      </c>
      <c r="AI733">
        <v>83</v>
      </c>
      <c r="AJ733">
        <v>1</v>
      </c>
      <c r="AK733">
        <v>28</v>
      </c>
      <c r="AL733" t="s">
        <v>7609</v>
      </c>
      <c r="AM733" t="s">
        <v>4630</v>
      </c>
      <c r="AN733" t="s">
        <v>7610</v>
      </c>
      <c r="AO733" t="s">
        <v>2441</v>
      </c>
      <c r="AP733" t="s">
        <v>74</v>
      </c>
      <c r="AQ733" t="s">
        <v>74</v>
      </c>
      <c r="AR733" t="s">
        <v>2443</v>
      </c>
      <c r="AS733" t="s">
        <v>2444</v>
      </c>
      <c r="AT733" t="s">
        <v>9785</v>
      </c>
      <c r="AU733">
        <v>2002</v>
      </c>
      <c r="AV733">
        <v>52</v>
      </c>
      <c r="AW733" t="s">
        <v>74</v>
      </c>
      <c r="AX733">
        <v>5</v>
      </c>
      <c r="AY733" t="s">
        <v>74</v>
      </c>
      <c r="AZ733" t="s">
        <v>74</v>
      </c>
      <c r="BA733" t="s">
        <v>74</v>
      </c>
      <c r="BB733">
        <v>1533</v>
      </c>
      <c r="BC733">
        <v>1541</v>
      </c>
      <c r="BD733" t="s">
        <v>74</v>
      </c>
      <c r="BE733" t="s">
        <v>10242</v>
      </c>
      <c r="BF733" t="str">
        <f>HYPERLINK("http://dx.doi.org/10.1099/ijs.0.01976-0","http://dx.doi.org/10.1099/ijs.0.01976-0")</f>
        <v>http://dx.doi.org/10.1099/ijs.0.01976-0</v>
      </c>
      <c r="BG733" t="s">
        <v>74</v>
      </c>
      <c r="BH733" t="s">
        <v>74</v>
      </c>
      <c r="BI733">
        <v>9</v>
      </c>
      <c r="BJ733" t="s">
        <v>2446</v>
      </c>
      <c r="BK733" t="s">
        <v>569</v>
      </c>
      <c r="BL733" t="s">
        <v>2446</v>
      </c>
      <c r="BM733" t="s">
        <v>10243</v>
      </c>
      <c r="BN733">
        <v>12361255</v>
      </c>
      <c r="BO733" t="s">
        <v>74</v>
      </c>
      <c r="BP733" t="s">
        <v>74</v>
      </c>
      <c r="BQ733" t="s">
        <v>74</v>
      </c>
      <c r="BR733" t="s">
        <v>98</v>
      </c>
      <c r="BS733" t="s">
        <v>10244</v>
      </c>
      <c r="BT733" t="str">
        <f>HYPERLINK("https%3A%2F%2Fwww.webofscience.com%2Fwos%2Fwoscc%2Ffull-record%2FWOS:000178117500012","View Full Record in Web of Science")</f>
        <v>View Full Record in Web of Science</v>
      </c>
    </row>
    <row r="734" spans="1:72" x14ac:dyDescent="0.15">
      <c r="A734" t="s">
        <v>552</v>
      </c>
      <c r="B734" t="s">
        <v>10245</v>
      </c>
      <c r="C734" t="s">
        <v>74</v>
      </c>
      <c r="D734" t="s">
        <v>74</v>
      </c>
      <c r="E734" t="s">
        <v>74</v>
      </c>
      <c r="F734" t="s">
        <v>10245</v>
      </c>
      <c r="G734" t="s">
        <v>74</v>
      </c>
      <c r="H734" t="s">
        <v>74</v>
      </c>
      <c r="I734" t="s">
        <v>10246</v>
      </c>
      <c r="J734" t="s">
        <v>10247</v>
      </c>
      <c r="K734" t="s">
        <v>74</v>
      </c>
      <c r="L734" t="s">
        <v>74</v>
      </c>
      <c r="M734" t="s">
        <v>78</v>
      </c>
      <c r="N734" t="s">
        <v>576</v>
      </c>
      <c r="O734" t="s">
        <v>10248</v>
      </c>
      <c r="P734" t="s">
        <v>10249</v>
      </c>
      <c r="Q734" t="s">
        <v>10250</v>
      </c>
      <c r="R734" t="s">
        <v>74</v>
      </c>
      <c r="S734" t="s">
        <v>10251</v>
      </c>
      <c r="T734" t="s">
        <v>10252</v>
      </c>
      <c r="U734" t="s">
        <v>10253</v>
      </c>
      <c r="V734" t="s">
        <v>10254</v>
      </c>
      <c r="W734" t="s">
        <v>10255</v>
      </c>
      <c r="X734" t="s">
        <v>10256</v>
      </c>
      <c r="Y734" t="s">
        <v>10257</v>
      </c>
      <c r="Z734" t="s">
        <v>74</v>
      </c>
      <c r="AA734" t="s">
        <v>74</v>
      </c>
      <c r="AB734" t="s">
        <v>74</v>
      </c>
      <c r="AC734" t="s">
        <v>74</v>
      </c>
      <c r="AD734" t="s">
        <v>74</v>
      </c>
      <c r="AE734" t="s">
        <v>74</v>
      </c>
      <c r="AF734" t="s">
        <v>74</v>
      </c>
      <c r="AG734">
        <v>37</v>
      </c>
      <c r="AH734">
        <v>28</v>
      </c>
      <c r="AI734">
        <v>30</v>
      </c>
      <c r="AJ734">
        <v>0</v>
      </c>
      <c r="AK734">
        <v>11</v>
      </c>
      <c r="AL734" t="s">
        <v>10258</v>
      </c>
      <c r="AM734" t="s">
        <v>10259</v>
      </c>
      <c r="AN734" t="s">
        <v>10260</v>
      </c>
      <c r="AO734" t="s">
        <v>10261</v>
      </c>
      <c r="AP734" t="s">
        <v>74</v>
      </c>
      <c r="AQ734" t="s">
        <v>74</v>
      </c>
      <c r="AR734" t="s">
        <v>10262</v>
      </c>
      <c r="AS734" t="s">
        <v>10263</v>
      </c>
      <c r="AT734" t="s">
        <v>9785</v>
      </c>
      <c r="AU734">
        <v>2002</v>
      </c>
      <c r="AV734">
        <v>41</v>
      </c>
      <c r="AW734" t="s">
        <v>5705</v>
      </c>
      <c r="AX734" t="s">
        <v>74</v>
      </c>
      <c r="AY734" t="s">
        <v>74</v>
      </c>
      <c r="AZ734" t="s">
        <v>74</v>
      </c>
      <c r="BA734" t="s">
        <v>74</v>
      </c>
      <c r="BB734">
        <v>73</v>
      </c>
      <c r="BC734">
        <v>81</v>
      </c>
      <c r="BD734" t="s">
        <v>74</v>
      </c>
      <c r="BE734" t="s">
        <v>10264</v>
      </c>
      <c r="BF734" t="str">
        <f>HYPERLINK("http://dx.doi.org/10.1080/07924259.2002.9652737","http://dx.doi.org/10.1080/07924259.2002.9652737")</f>
        <v>http://dx.doi.org/10.1080/07924259.2002.9652737</v>
      </c>
      <c r="BG734" t="s">
        <v>74</v>
      </c>
      <c r="BH734" t="s">
        <v>74</v>
      </c>
      <c r="BI734">
        <v>9</v>
      </c>
      <c r="BJ734" t="s">
        <v>10265</v>
      </c>
      <c r="BK734" t="s">
        <v>589</v>
      </c>
      <c r="BL734" t="s">
        <v>10265</v>
      </c>
      <c r="BM734" t="s">
        <v>10266</v>
      </c>
      <c r="BN734" t="s">
        <v>74</v>
      </c>
      <c r="BO734" t="s">
        <v>74</v>
      </c>
      <c r="BP734" t="s">
        <v>74</v>
      </c>
      <c r="BQ734" t="s">
        <v>74</v>
      </c>
      <c r="BR734" t="s">
        <v>98</v>
      </c>
      <c r="BS734" t="s">
        <v>10267</v>
      </c>
      <c r="BT734" t="str">
        <f>HYPERLINK("https%3A%2F%2Fwww.webofscience.com%2Fwos%2Fwoscc%2Ffull-record%2FWOS:000178702400011","View Full Record in Web of Science")</f>
        <v>View Full Record in Web of Science</v>
      </c>
    </row>
    <row r="735" spans="1:72" x14ac:dyDescent="0.15">
      <c r="A735" t="s">
        <v>552</v>
      </c>
      <c r="B735" t="s">
        <v>10268</v>
      </c>
      <c r="C735" t="s">
        <v>74</v>
      </c>
      <c r="D735" t="s">
        <v>74</v>
      </c>
      <c r="E735" t="s">
        <v>74</v>
      </c>
      <c r="F735" t="s">
        <v>10268</v>
      </c>
      <c r="G735" t="s">
        <v>74</v>
      </c>
      <c r="H735" t="s">
        <v>74</v>
      </c>
      <c r="I735" t="s">
        <v>10269</v>
      </c>
      <c r="J735" t="s">
        <v>2489</v>
      </c>
      <c r="K735" t="s">
        <v>74</v>
      </c>
      <c r="L735" t="s">
        <v>74</v>
      </c>
      <c r="M735" t="s">
        <v>78</v>
      </c>
      <c r="N735" t="s">
        <v>1114</v>
      </c>
      <c r="O735" t="s">
        <v>74</v>
      </c>
      <c r="P735" t="s">
        <v>74</v>
      </c>
      <c r="Q735" t="s">
        <v>74</v>
      </c>
      <c r="R735" t="s">
        <v>74</v>
      </c>
      <c r="S735" t="s">
        <v>74</v>
      </c>
      <c r="T735" t="s">
        <v>74</v>
      </c>
      <c r="U735" t="s">
        <v>10270</v>
      </c>
      <c r="V735" t="s">
        <v>10271</v>
      </c>
      <c r="W735" t="s">
        <v>10272</v>
      </c>
      <c r="X735" t="s">
        <v>6067</v>
      </c>
      <c r="Y735" t="s">
        <v>10273</v>
      </c>
      <c r="Z735" t="s">
        <v>10274</v>
      </c>
      <c r="AA735" t="s">
        <v>10275</v>
      </c>
      <c r="AB735" t="s">
        <v>10276</v>
      </c>
      <c r="AC735" t="s">
        <v>74</v>
      </c>
      <c r="AD735" t="s">
        <v>74</v>
      </c>
      <c r="AE735" t="s">
        <v>74</v>
      </c>
      <c r="AF735" t="s">
        <v>74</v>
      </c>
      <c r="AG735">
        <v>112</v>
      </c>
      <c r="AH735">
        <v>7</v>
      </c>
      <c r="AI735">
        <v>7</v>
      </c>
      <c r="AJ735">
        <v>0</v>
      </c>
      <c r="AK735">
        <v>3</v>
      </c>
      <c r="AL735" t="s">
        <v>4012</v>
      </c>
      <c r="AM735" t="s">
        <v>561</v>
      </c>
      <c r="AN735" t="s">
        <v>4013</v>
      </c>
      <c r="AO735" t="s">
        <v>2494</v>
      </c>
      <c r="AP735" t="s">
        <v>10277</v>
      </c>
      <c r="AQ735" t="s">
        <v>74</v>
      </c>
      <c r="AR735" t="s">
        <v>2495</v>
      </c>
      <c r="AS735" t="s">
        <v>2496</v>
      </c>
      <c r="AT735" t="s">
        <v>10125</v>
      </c>
      <c r="AU735">
        <v>2002</v>
      </c>
      <c r="AV735">
        <v>38</v>
      </c>
      <c r="AW735">
        <v>5</v>
      </c>
      <c r="AX735" t="s">
        <v>74</v>
      </c>
      <c r="AY735" t="s">
        <v>74</v>
      </c>
      <c r="AZ735" t="s">
        <v>74</v>
      </c>
      <c r="BA735" t="s">
        <v>74</v>
      </c>
      <c r="BB735">
        <v>513</v>
      </c>
      <c r="BC735">
        <v>554</v>
      </c>
      <c r="BD735" t="s">
        <v>74</v>
      </c>
      <c r="BE735" t="s">
        <v>74</v>
      </c>
      <c r="BF735" t="s">
        <v>74</v>
      </c>
      <c r="BG735" t="s">
        <v>74</v>
      </c>
      <c r="BH735" t="s">
        <v>74</v>
      </c>
      <c r="BI735">
        <v>42</v>
      </c>
      <c r="BJ735" t="s">
        <v>2497</v>
      </c>
      <c r="BK735" t="s">
        <v>569</v>
      </c>
      <c r="BL735" t="s">
        <v>2497</v>
      </c>
      <c r="BM735" t="s">
        <v>10278</v>
      </c>
      <c r="BN735" t="s">
        <v>74</v>
      </c>
      <c r="BO735" t="s">
        <v>74</v>
      </c>
      <c r="BP735" t="s">
        <v>74</v>
      </c>
      <c r="BQ735" t="s">
        <v>74</v>
      </c>
      <c r="BR735" t="s">
        <v>98</v>
      </c>
      <c r="BS735" t="s">
        <v>10279</v>
      </c>
      <c r="BT735" t="str">
        <f>HYPERLINK("https%3A%2F%2Fwww.webofscience.com%2Fwos%2Fwoscc%2Ffull-record%2FWOS:000178759300001","View Full Record in Web of Science")</f>
        <v>View Full Record in Web of Science</v>
      </c>
    </row>
    <row r="736" spans="1:72" x14ac:dyDescent="0.15">
      <c r="A736" t="s">
        <v>552</v>
      </c>
      <c r="B736" t="s">
        <v>6182</v>
      </c>
      <c r="C736" t="s">
        <v>74</v>
      </c>
      <c r="D736" t="s">
        <v>74</v>
      </c>
      <c r="E736" t="s">
        <v>74</v>
      </c>
      <c r="F736" t="s">
        <v>6182</v>
      </c>
      <c r="G736" t="s">
        <v>74</v>
      </c>
      <c r="H736" t="s">
        <v>74</v>
      </c>
      <c r="I736" t="s">
        <v>10280</v>
      </c>
      <c r="J736" t="s">
        <v>2502</v>
      </c>
      <c r="K736" t="s">
        <v>74</v>
      </c>
      <c r="L736" t="s">
        <v>74</v>
      </c>
      <c r="M736" t="s">
        <v>78</v>
      </c>
      <c r="N736" t="s">
        <v>775</v>
      </c>
      <c r="O736" t="s">
        <v>74</v>
      </c>
      <c r="P736" t="s">
        <v>74</v>
      </c>
      <c r="Q736" t="s">
        <v>74</v>
      </c>
      <c r="R736" t="s">
        <v>74</v>
      </c>
      <c r="S736" t="s">
        <v>74</v>
      </c>
      <c r="T736" t="s">
        <v>10281</v>
      </c>
      <c r="U736" t="s">
        <v>10282</v>
      </c>
      <c r="V736" t="s">
        <v>10283</v>
      </c>
      <c r="W736" t="s">
        <v>10284</v>
      </c>
      <c r="X736" t="s">
        <v>10285</v>
      </c>
      <c r="Y736" t="s">
        <v>4479</v>
      </c>
      <c r="Z736" t="s">
        <v>74</v>
      </c>
      <c r="AA736" t="s">
        <v>74</v>
      </c>
      <c r="AB736" t="s">
        <v>74</v>
      </c>
      <c r="AC736" t="s">
        <v>74</v>
      </c>
      <c r="AD736" t="s">
        <v>74</v>
      </c>
      <c r="AE736" t="s">
        <v>74</v>
      </c>
      <c r="AF736" t="s">
        <v>74</v>
      </c>
      <c r="AG736">
        <v>40</v>
      </c>
      <c r="AH736">
        <v>4</v>
      </c>
      <c r="AI736">
        <v>4</v>
      </c>
      <c r="AJ736">
        <v>0</v>
      </c>
      <c r="AK736">
        <v>2</v>
      </c>
      <c r="AL736" t="s">
        <v>2509</v>
      </c>
      <c r="AM736" t="s">
        <v>2113</v>
      </c>
      <c r="AN736" t="s">
        <v>2510</v>
      </c>
      <c r="AO736" t="s">
        <v>2511</v>
      </c>
      <c r="AP736" t="s">
        <v>74</v>
      </c>
      <c r="AQ736" t="s">
        <v>74</v>
      </c>
      <c r="AR736" t="s">
        <v>2512</v>
      </c>
      <c r="AS736" t="s">
        <v>2513</v>
      </c>
      <c r="AT736" t="s">
        <v>10125</v>
      </c>
      <c r="AU736">
        <v>2002</v>
      </c>
      <c r="AV736">
        <v>55</v>
      </c>
      <c r="AW736" t="s">
        <v>10286</v>
      </c>
      <c r="AX736" t="s">
        <v>74</v>
      </c>
      <c r="AY736" t="s">
        <v>74</v>
      </c>
      <c r="AZ736" t="s">
        <v>74</v>
      </c>
      <c r="BA736" t="s">
        <v>74</v>
      </c>
      <c r="BB736">
        <v>291</v>
      </c>
      <c r="BC736">
        <v>306</v>
      </c>
      <c r="BD736" t="s">
        <v>74</v>
      </c>
      <c r="BE736" t="s">
        <v>74</v>
      </c>
      <c r="BF736" t="s">
        <v>74</v>
      </c>
      <c r="BG736" t="s">
        <v>74</v>
      </c>
      <c r="BH736" t="s">
        <v>74</v>
      </c>
      <c r="BI736">
        <v>16</v>
      </c>
      <c r="BJ736" t="s">
        <v>2514</v>
      </c>
      <c r="BK736" t="s">
        <v>569</v>
      </c>
      <c r="BL736" t="s">
        <v>2515</v>
      </c>
      <c r="BM736" t="s">
        <v>10287</v>
      </c>
      <c r="BN736" t="s">
        <v>74</v>
      </c>
      <c r="BO736" t="s">
        <v>74</v>
      </c>
      <c r="BP736" t="s">
        <v>74</v>
      </c>
      <c r="BQ736" t="s">
        <v>74</v>
      </c>
      <c r="BR736" t="s">
        <v>98</v>
      </c>
      <c r="BS736" t="s">
        <v>10288</v>
      </c>
      <c r="BT736" t="str">
        <f>HYPERLINK("https%3A%2F%2Fwww.webofscience.com%2Fwos%2Fwoscc%2Ffull-record%2FWOS:000182176500001","View Full Record in Web of Science")</f>
        <v>View Full Record in Web of Science</v>
      </c>
    </row>
    <row r="737" spans="1:72" x14ac:dyDescent="0.15">
      <c r="A737" t="s">
        <v>552</v>
      </c>
      <c r="B737" t="s">
        <v>10289</v>
      </c>
      <c r="C737" t="s">
        <v>74</v>
      </c>
      <c r="D737" t="s">
        <v>74</v>
      </c>
      <c r="E737" t="s">
        <v>74</v>
      </c>
      <c r="F737" t="s">
        <v>10289</v>
      </c>
      <c r="G737" t="s">
        <v>74</v>
      </c>
      <c r="H737" t="s">
        <v>74</v>
      </c>
      <c r="I737" t="s">
        <v>10290</v>
      </c>
      <c r="J737" t="s">
        <v>10291</v>
      </c>
      <c r="K737" t="s">
        <v>74</v>
      </c>
      <c r="L737" t="s">
        <v>74</v>
      </c>
      <c r="M737" t="s">
        <v>78</v>
      </c>
      <c r="N737" t="s">
        <v>556</v>
      </c>
      <c r="O737" t="s">
        <v>74</v>
      </c>
      <c r="P737" t="s">
        <v>74</v>
      </c>
      <c r="Q737" t="s">
        <v>74</v>
      </c>
      <c r="R737" t="s">
        <v>74</v>
      </c>
      <c r="S737" t="s">
        <v>74</v>
      </c>
      <c r="T737" t="s">
        <v>74</v>
      </c>
      <c r="U737" t="s">
        <v>74</v>
      </c>
      <c r="V737" t="s">
        <v>74</v>
      </c>
      <c r="W737" t="s">
        <v>74</v>
      </c>
      <c r="X737" t="s">
        <v>74</v>
      </c>
      <c r="Y737" t="s">
        <v>74</v>
      </c>
      <c r="Z737" t="s">
        <v>74</v>
      </c>
      <c r="AA737" t="s">
        <v>74</v>
      </c>
      <c r="AB737" t="s">
        <v>74</v>
      </c>
      <c r="AC737" t="s">
        <v>74</v>
      </c>
      <c r="AD737" t="s">
        <v>74</v>
      </c>
      <c r="AE737" t="s">
        <v>74</v>
      </c>
      <c r="AF737" t="s">
        <v>74</v>
      </c>
      <c r="AG737">
        <v>0</v>
      </c>
      <c r="AH737">
        <v>0</v>
      </c>
      <c r="AI737">
        <v>0</v>
      </c>
      <c r="AJ737">
        <v>0</v>
      </c>
      <c r="AK737">
        <v>2</v>
      </c>
      <c r="AL737" t="s">
        <v>10292</v>
      </c>
      <c r="AM737" t="s">
        <v>6790</v>
      </c>
      <c r="AN737" t="s">
        <v>10293</v>
      </c>
      <c r="AO737" t="s">
        <v>10294</v>
      </c>
      <c r="AP737" t="s">
        <v>10295</v>
      </c>
      <c r="AQ737" t="s">
        <v>74</v>
      </c>
      <c r="AR737" t="s">
        <v>10296</v>
      </c>
      <c r="AS737" t="s">
        <v>10297</v>
      </c>
      <c r="AT737" t="s">
        <v>9785</v>
      </c>
      <c r="AU737">
        <v>2002</v>
      </c>
      <c r="AV737">
        <v>57</v>
      </c>
      <c r="AW737">
        <v>9</v>
      </c>
      <c r="AX737" t="s">
        <v>74</v>
      </c>
      <c r="AY737" t="s">
        <v>74</v>
      </c>
      <c r="AZ737" t="s">
        <v>74</v>
      </c>
      <c r="BA737" t="s">
        <v>74</v>
      </c>
      <c r="BB737">
        <v>757</v>
      </c>
      <c r="BC737">
        <v>757</v>
      </c>
      <c r="BD737" t="s">
        <v>74</v>
      </c>
      <c r="BE737" t="s">
        <v>74</v>
      </c>
      <c r="BF737" t="s">
        <v>74</v>
      </c>
      <c r="BG737" t="s">
        <v>74</v>
      </c>
      <c r="BH737" t="s">
        <v>74</v>
      </c>
      <c r="BI737">
        <v>1</v>
      </c>
      <c r="BJ737" t="s">
        <v>8510</v>
      </c>
      <c r="BK737" t="s">
        <v>569</v>
      </c>
      <c r="BL737" t="s">
        <v>863</v>
      </c>
      <c r="BM737" t="s">
        <v>10298</v>
      </c>
      <c r="BN737" t="s">
        <v>74</v>
      </c>
      <c r="BO737" t="s">
        <v>74</v>
      </c>
      <c r="BP737" t="s">
        <v>74</v>
      </c>
      <c r="BQ737" t="s">
        <v>74</v>
      </c>
      <c r="BR737" t="s">
        <v>98</v>
      </c>
      <c r="BS737" t="s">
        <v>10299</v>
      </c>
      <c r="BT737" t="str">
        <f>HYPERLINK("https%3A%2F%2Fwww.webofscience.com%2Fwos%2Fwoscc%2Ffull-record%2FWOS:000178366700001","View Full Record in Web of Science")</f>
        <v>View Full Record in Web of Science</v>
      </c>
    </row>
    <row r="738" spans="1:72" x14ac:dyDescent="0.15">
      <c r="A738" t="s">
        <v>552</v>
      </c>
      <c r="B738" t="s">
        <v>10300</v>
      </c>
      <c r="C738" t="s">
        <v>74</v>
      </c>
      <c r="D738" t="s">
        <v>74</v>
      </c>
      <c r="E738" t="s">
        <v>74</v>
      </c>
      <c r="F738" t="s">
        <v>10300</v>
      </c>
      <c r="G738" t="s">
        <v>74</v>
      </c>
      <c r="H738" t="s">
        <v>74</v>
      </c>
      <c r="I738" t="s">
        <v>10301</v>
      </c>
      <c r="J738" t="s">
        <v>2644</v>
      </c>
      <c r="K738" t="s">
        <v>74</v>
      </c>
      <c r="L738" t="s">
        <v>74</v>
      </c>
      <c r="M738" t="s">
        <v>78</v>
      </c>
      <c r="N738" t="s">
        <v>775</v>
      </c>
      <c r="O738" t="s">
        <v>74</v>
      </c>
      <c r="P738" t="s">
        <v>74</v>
      </c>
      <c r="Q738" t="s">
        <v>74</v>
      </c>
      <c r="R738" t="s">
        <v>74</v>
      </c>
      <c r="S738" t="s">
        <v>74</v>
      </c>
      <c r="T738" t="s">
        <v>74</v>
      </c>
      <c r="U738" t="s">
        <v>10302</v>
      </c>
      <c r="V738" t="s">
        <v>10303</v>
      </c>
      <c r="W738" t="s">
        <v>10304</v>
      </c>
      <c r="X738" t="s">
        <v>10305</v>
      </c>
      <c r="Y738" t="s">
        <v>10306</v>
      </c>
      <c r="Z738" t="s">
        <v>74</v>
      </c>
      <c r="AA738" t="s">
        <v>10307</v>
      </c>
      <c r="AB738" t="s">
        <v>74</v>
      </c>
      <c r="AC738" t="s">
        <v>74</v>
      </c>
      <c r="AD738" t="s">
        <v>74</v>
      </c>
      <c r="AE738" t="s">
        <v>74</v>
      </c>
      <c r="AF738" t="s">
        <v>74</v>
      </c>
      <c r="AG738">
        <v>38</v>
      </c>
      <c r="AH738">
        <v>4</v>
      </c>
      <c r="AI738">
        <v>5</v>
      </c>
      <c r="AJ738">
        <v>1</v>
      </c>
      <c r="AK738">
        <v>5</v>
      </c>
      <c r="AL738" t="s">
        <v>2652</v>
      </c>
      <c r="AM738" t="s">
        <v>2653</v>
      </c>
      <c r="AN738" t="s">
        <v>2654</v>
      </c>
      <c r="AO738" t="s">
        <v>2655</v>
      </c>
      <c r="AP738" t="s">
        <v>74</v>
      </c>
      <c r="AQ738" t="s">
        <v>74</v>
      </c>
      <c r="AR738" t="s">
        <v>2656</v>
      </c>
      <c r="AS738" t="s">
        <v>2657</v>
      </c>
      <c r="AT738" t="s">
        <v>9785</v>
      </c>
      <c r="AU738">
        <v>2002</v>
      </c>
      <c r="AV738">
        <v>15</v>
      </c>
      <c r="AW738">
        <v>17</v>
      </c>
      <c r="AX738" t="s">
        <v>74</v>
      </c>
      <c r="AY738" t="s">
        <v>74</v>
      </c>
      <c r="AZ738" t="s">
        <v>74</v>
      </c>
      <c r="BA738" t="s">
        <v>74</v>
      </c>
      <c r="BB738">
        <v>2527</v>
      </c>
      <c r="BC738">
        <v>2536</v>
      </c>
      <c r="BD738" t="s">
        <v>74</v>
      </c>
      <c r="BE738" t="s">
        <v>10308</v>
      </c>
      <c r="BF738" t="str">
        <f>HYPERLINK("http://dx.doi.org/10.1175/1520-0442(2002)015&lt;2527:SCOTAH&gt;2.0.CO;2","http://dx.doi.org/10.1175/1520-0442(2002)015&lt;2527:SCOTAH&gt;2.0.CO;2")</f>
        <v>http://dx.doi.org/10.1175/1520-0442(2002)015&lt;2527:SCOTAH&gt;2.0.CO;2</v>
      </c>
      <c r="BG738" t="s">
        <v>74</v>
      </c>
      <c r="BH738" t="s">
        <v>74</v>
      </c>
      <c r="BI738">
        <v>10</v>
      </c>
      <c r="BJ738" t="s">
        <v>1237</v>
      </c>
      <c r="BK738" t="s">
        <v>569</v>
      </c>
      <c r="BL738" t="s">
        <v>1237</v>
      </c>
      <c r="BM738" t="s">
        <v>10309</v>
      </c>
      <c r="BN738" t="s">
        <v>74</v>
      </c>
      <c r="BO738" t="s">
        <v>3510</v>
      </c>
      <c r="BP738" t="s">
        <v>74</v>
      </c>
      <c r="BQ738" t="s">
        <v>74</v>
      </c>
      <c r="BR738" t="s">
        <v>98</v>
      </c>
      <c r="BS738" t="s">
        <v>10310</v>
      </c>
      <c r="BT738" t="str">
        <f>HYPERLINK("https%3A%2F%2Fwww.webofscience.com%2Fwos%2Fwoscc%2Ffull-record%2FWOS:000177573100017","View Full Record in Web of Science")</f>
        <v>View Full Record in Web of Science</v>
      </c>
    </row>
    <row r="739" spans="1:72" x14ac:dyDescent="0.15">
      <c r="A739" t="s">
        <v>552</v>
      </c>
      <c r="B739" t="s">
        <v>10311</v>
      </c>
      <c r="C739" t="s">
        <v>74</v>
      </c>
      <c r="D739" t="s">
        <v>74</v>
      </c>
      <c r="E739" t="s">
        <v>74</v>
      </c>
      <c r="F739" t="s">
        <v>10311</v>
      </c>
      <c r="G739" t="s">
        <v>74</v>
      </c>
      <c r="H739" t="s">
        <v>74</v>
      </c>
      <c r="I739" t="s">
        <v>10312</v>
      </c>
      <c r="J739" t="s">
        <v>2644</v>
      </c>
      <c r="K739" t="s">
        <v>74</v>
      </c>
      <c r="L739" t="s">
        <v>74</v>
      </c>
      <c r="M739" t="s">
        <v>78</v>
      </c>
      <c r="N739" t="s">
        <v>775</v>
      </c>
      <c r="O739" t="s">
        <v>74</v>
      </c>
      <c r="P739" t="s">
        <v>74</v>
      </c>
      <c r="Q739" t="s">
        <v>74</v>
      </c>
      <c r="R739" t="s">
        <v>74</v>
      </c>
      <c r="S739" t="s">
        <v>74</v>
      </c>
      <c r="T739" t="s">
        <v>74</v>
      </c>
      <c r="U739" t="s">
        <v>10313</v>
      </c>
      <c r="V739" t="s">
        <v>10314</v>
      </c>
      <c r="W739" t="s">
        <v>2931</v>
      </c>
      <c r="X739" t="s">
        <v>1694</v>
      </c>
      <c r="Y739" t="s">
        <v>10315</v>
      </c>
      <c r="Z739" t="s">
        <v>74</v>
      </c>
      <c r="AA739" t="s">
        <v>74</v>
      </c>
      <c r="AB739" t="s">
        <v>74</v>
      </c>
      <c r="AC739" t="s">
        <v>74</v>
      </c>
      <c r="AD739" t="s">
        <v>74</v>
      </c>
      <c r="AE739" t="s">
        <v>74</v>
      </c>
      <c r="AF739" t="s">
        <v>74</v>
      </c>
      <c r="AG739">
        <v>44</v>
      </c>
      <c r="AH739">
        <v>20</v>
      </c>
      <c r="AI739">
        <v>22</v>
      </c>
      <c r="AJ739">
        <v>0</v>
      </c>
      <c r="AK739">
        <v>8</v>
      </c>
      <c r="AL739" t="s">
        <v>2652</v>
      </c>
      <c r="AM739" t="s">
        <v>2653</v>
      </c>
      <c r="AN739" t="s">
        <v>2654</v>
      </c>
      <c r="AO739" t="s">
        <v>2655</v>
      </c>
      <c r="AP739" t="s">
        <v>74</v>
      </c>
      <c r="AQ739" t="s">
        <v>74</v>
      </c>
      <c r="AR739" t="s">
        <v>2656</v>
      </c>
      <c r="AS739" t="s">
        <v>2657</v>
      </c>
      <c r="AT739" t="s">
        <v>9785</v>
      </c>
      <c r="AU739">
        <v>2002</v>
      </c>
      <c r="AV739">
        <v>15</v>
      </c>
      <c r="AW739">
        <v>18</v>
      </c>
      <c r="AX739" t="s">
        <v>74</v>
      </c>
      <c r="AY739" t="s">
        <v>74</v>
      </c>
      <c r="AZ739" t="s">
        <v>74</v>
      </c>
      <c r="BA739" t="s">
        <v>74</v>
      </c>
      <c r="BB739">
        <v>2577</v>
      </c>
      <c r="BC739">
        <v>2596</v>
      </c>
      <c r="BD739" t="s">
        <v>74</v>
      </c>
      <c r="BE739" t="s">
        <v>10316</v>
      </c>
      <c r="BF739" t="str">
        <f>HYPERLINK("http://dx.doi.org/10.1175/1520-0442(2002)015&lt;2577:TMRFTT&gt;2.0.CO;2","http://dx.doi.org/10.1175/1520-0442(2002)015&lt;2577:TMRFTT&gt;2.0.CO;2")</f>
        <v>http://dx.doi.org/10.1175/1520-0442(2002)015&lt;2577:TMRFTT&gt;2.0.CO;2</v>
      </c>
      <c r="BG739" t="s">
        <v>74</v>
      </c>
      <c r="BH739" t="s">
        <v>74</v>
      </c>
      <c r="BI739">
        <v>20</v>
      </c>
      <c r="BJ739" t="s">
        <v>1237</v>
      </c>
      <c r="BK739" t="s">
        <v>569</v>
      </c>
      <c r="BL739" t="s">
        <v>1237</v>
      </c>
      <c r="BM739" t="s">
        <v>10317</v>
      </c>
      <c r="BN739" t="s">
        <v>74</v>
      </c>
      <c r="BO739" t="s">
        <v>2660</v>
      </c>
      <c r="BP739" t="s">
        <v>74</v>
      </c>
      <c r="BQ739" t="s">
        <v>74</v>
      </c>
      <c r="BR739" t="s">
        <v>98</v>
      </c>
      <c r="BS739" t="s">
        <v>10318</v>
      </c>
      <c r="BT739" t="str">
        <f>HYPERLINK("https%3A%2F%2Fwww.webofscience.com%2Fwos%2Fwoscc%2Ffull-record%2FWOS:000177573200001","View Full Record in Web of Science")</f>
        <v>View Full Record in Web of Science</v>
      </c>
    </row>
    <row r="740" spans="1:72" x14ac:dyDescent="0.15">
      <c r="A740" t="s">
        <v>552</v>
      </c>
      <c r="B740" t="s">
        <v>10319</v>
      </c>
      <c r="C740" t="s">
        <v>74</v>
      </c>
      <c r="D740" t="s">
        <v>74</v>
      </c>
      <c r="E740" t="s">
        <v>74</v>
      </c>
      <c r="F740" t="s">
        <v>10319</v>
      </c>
      <c r="G740" t="s">
        <v>74</v>
      </c>
      <c r="H740" t="s">
        <v>74</v>
      </c>
      <c r="I740" t="s">
        <v>10320</v>
      </c>
      <c r="J740" t="s">
        <v>5091</v>
      </c>
      <c r="K740" t="s">
        <v>74</v>
      </c>
      <c r="L740" t="s">
        <v>74</v>
      </c>
      <c r="M740" t="s">
        <v>78</v>
      </c>
      <c r="N740" t="s">
        <v>775</v>
      </c>
      <c r="O740" t="s">
        <v>74</v>
      </c>
      <c r="P740" t="s">
        <v>74</v>
      </c>
      <c r="Q740" t="s">
        <v>74</v>
      </c>
      <c r="R740" t="s">
        <v>74</v>
      </c>
      <c r="S740" t="s">
        <v>74</v>
      </c>
      <c r="T740" t="s">
        <v>74</v>
      </c>
      <c r="U740" t="s">
        <v>10321</v>
      </c>
      <c r="V740" t="s">
        <v>10322</v>
      </c>
      <c r="W740" t="s">
        <v>10323</v>
      </c>
      <c r="X740" t="s">
        <v>10324</v>
      </c>
      <c r="Y740" t="s">
        <v>10325</v>
      </c>
      <c r="Z740" t="s">
        <v>10326</v>
      </c>
      <c r="AA740" t="s">
        <v>10327</v>
      </c>
      <c r="AB740" t="s">
        <v>10328</v>
      </c>
      <c r="AC740" t="s">
        <v>74</v>
      </c>
      <c r="AD740" t="s">
        <v>74</v>
      </c>
      <c r="AE740" t="s">
        <v>74</v>
      </c>
      <c r="AF740" t="s">
        <v>74</v>
      </c>
      <c r="AG740">
        <v>60</v>
      </c>
      <c r="AH740">
        <v>14</v>
      </c>
      <c r="AI740">
        <v>14</v>
      </c>
      <c r="AJ740">
        <v>0</v>
      </c>
      <c r="AK740">
        <v>6</v>
      </c>
      <c r="AL740" t="s">
        <v>387</v>
      </c>
      <c r="AM740" t="s">
        <v>388</v>
      </c>
      <c r="AN740" t="s">
        <v>389</v>
      </c>
      <c r="AO740" t="s">
        <v>5101</v>
      </c>
      <c r="AP740" t="s">
        <v>5188</v>
      </c>
      <c r="AQ740" t="s">
        <v>74</v>
      </c>
      <c r="AR740" t="s">
        <v>5102</v>
      </c>
      <c r="AS740" t="s">
        <v>5103</v>
      </c>
      <c r="AT740" t="s">
        <v>10125</v>
      </c>
      <c r="AU740">
        <v>2002</v>
      </c>
      <c r="AV740">
        <v>107</v>
      </c>
      <c r="AW740" t="s">
        <v>5105</v>
      </c>
      <c r="AX740" t="s">
        <v>74</v>
      </c>
      <c r="AY740" t="s">
        <v>74</v>
      </c>
      <c r="AZ740" t="s">
        <v>74</v>
      </c>
      <c r="BA740" t="s">
        <v>74</v>
      </c>
      <c r="BB740" t="s">
        <v>74</v>
      </c>
      <c r="BC740" t="s">
        <v>74</v>
      </c>
      <c r="BD740">
        <v>8209</v>
      </c>
      <c r="BE740" t="s">
        <v>10329</v>
      </c>
      <c r="BF740" t="str">
        <f>HYPERLINK("http://dx.doi.org/10.1029/2001JD000644","http://dx.doi.org/10.1029/2001JD000644")</f>
        <v>http://dx.doi.org/10.1029/2001JD000644</v>
      </c>
      <c r="BG740" t="s">
        <v>74</v>
      </c>
      <c r="BH740" t="s">
        <v>74</v>
      </c>
      <c r="BI740">
        <v>12</v>
      </c>
      <c r="BJ740" t="s">
        <v>1237</v>
      </c>
      <c r="BK740" t="s">
        <v>569</v>
      </c>
      <c r="BL740" t="s">
        <v>1237</v>
      </c>
      <c r="BM740" t="s">
        <v>10330</v>
      </c>
      <c r="BN740" t="s">
        <v>74</v>
      </c>
      <c r="BO740" t="s">
        <v>572</v>
      </c>
      <c r="BP740" t="s">
        <v>74</v>
      </c>
      <c r="BQ740" t="s">
        <v>74</v>
      </c>
      <c r="BR740" t="s">
        <v>98</v>
      </c>
      <c r="BS740" t="s">
        <v>10331</v>
      </c>
      <c r="BT740" t="str">
        <f>HYPERLINK("https%3A%2F%2Fwww.webofscience.com%2Fwos%2Fwoscc%2Ffull-record%2FWOS:000180491900005","View Full Record in Web of Science")</f>
        <v>View Full Record in Web of Science</v>
      </c>
    </row>
    <row r="741" spans="1:72" x14ac:dyDescent="0.15">
      <c r="A741" t="s">
        <v>552</v>
      </c>
      <c r="B741" t="s">
        <v>10332</v>
      </c>
      <c r="C741" t="s">
        <v>74</v>
      </c>
      <c r="D741" t="s">
        <v>74</v>
      </c>
      <c r="E741" t="s">
        <v>74</v>
      </c>
      <c r="F741" t="s">
        <v>10332</v>
      </c>
      <c r="G741" t="s">
        <v>74</v>
      </c>
      <c r="H741" t="s">
        <v>74</v>
      </c>
      <c r="I741" t="s">
        <v>10333</v>
      </c>
      <c r="J741" t="s">
        <v>5091</v>
      </c>
      <c r="K741" t="s">
        <v>74</v>
      </c>
      <c r="L741" t="s">
        <v>74</v>
      </c>
      <c r="M741" t="s">
        <v>78</v>
      </c>
      <c r="N741" t="s">
        <v>775</v>
      </c>
      <c r="O741" t="s">
        <v>74</v>
      </c>
      <c r="P741" t="s">
        <v>74</v>
      </c>
      <c r="Q741" t="s">
        <v>74</v>
      </c>
      <c r="R741" t="s">
        <v>74</v>
      </c>
      <c r="S741" t="s">
        <v>74</v>
      </c>
      <c r="T741" t="s">
        <v>10334</v>
      </c>
      <c r="U741" t="s">
        <v>10335</v>
      </c>
      <c r="V741" t="s">
        <v>10336</v>
      </c>
      <c r="W741" t="s">
        <v>10337</v>
      </c>
      <c r="X741" t="s">
        <v>10338</v>
      </c>
      <c r="Y741" t="s">
        <v>10339</v>
      </c>
      <c r="Z741" t="s">
        <v>10340</v>
      </c>
      <c r="AA741" t="s">
        <v>10341</v>
      </c>
      <c r="AB741" t="s">
        <v>10342</v>
      </c>
      <c r="AC741" t="s">
        <v>74</v>
      </c>
      <c r="AD741" t="s">
        <v>74</v>
      </c>
      <c r="AE741" t="s">
        <v>74</v>
      </c>
      <c r="AF741" t="s">
        <v>74</v>
      </c>
      <c r="AG741">
        <v>53</v>
      </c>
      <c r="AH741">
        <v>101</v>
      </c>
      <c r="AI741">
        <v>110</v>
      </c>
      <c r="AJ741">
        <v>2</v>
      </c>
      <c r="AK741">
        <v>35</v>
      </c>
      <c r="AL741" t="s">
        <v>387</v>
      </c>
      <c r="AM741" t="s">
        <v>388</v>
      </c>
      <c r="AN741" t="s">
        <v>389</v>
      </c>
      <c r="AO741" t="s">
        <v>5101</v>
      </c>
      <c r="AP741" t="s">
        <v>5188</v>
      </c>
      <c r="AQ741" t="s">
        <v>74</v>
      </c>
      <c r="AR741" t="s">
        <v>5102</v>
      </c>
      <c r="AS741" t="s">
        <v>5103</v>
      </c>
      <c r="AT741" t="s">
        <v>9785</v>
      </c>
      <c r="AU741">
        <v>2002</v>
      </c>
      <c r="AV741">
        <v>107</v>
      </c>
      <c r="AW741" t="s">
        <v>10343</v>
      </c>
      <c r="AX741" t="s">
        <v>74</v>
      </c>
      <c r="AY741" t="s">
        <v>74</v>
      </c>
      <c r="AZ741" t="s">
        <v>74</v>
      </c>
      <c r="BA741" t="s">
        <v>74</v>
      </c>
      <c r="BB741" t="s">
        <v>74</v>
      </c>
      <c r="BC741" t="s">
        <v>74</v>
      </c>
      <c r="BD741">
        <v>4344</v>
      </c>
      <c r="BE741" t="s">
        <v>10344</v>
      </c>
      <c r="BF741" t="str">
        <f>HYPERLINK("http://dx.doi.org/10.1029/2001JD000673","http://dx.doi.org/10.1029/2001JD000673")</f>
        <v>http://dx.doi.org/10.1029/2001JD000673</v>
      </c>
      <c r="BG741" t="s">
        <v>74</v>
      </c>
      <c r="BH741" t="s">
        <v>74</v>
      </c>
      <c r="BI741">
        <v>12</v>
      </c>
      <c r="BJ741" t="s">
        <v>1237</v>
      </c>
      <c r="BK741" t="s">
        <v>569</v>
      </c>
      <c r="BL741" t="s">
        <v>1237</v>
      </c>
      <c r="BM741" t="s">
        <v>10345</v>
      </c>
      <c r="BN741" t="s">
        <v>74</v>
      </c>
      <c r="BO741" t="s">
        <v>74</v>
      </c>
      <c r="BP741" t="s">
        <v>74</v>
      </c>
      <c r="BQ741" t="s">
        <v>74</v>
      </c>
      <c r="BR741" t="s">
        <v>98</v>
      </c>
      <c r="BS741" t="s">
        <v>10346</v>
      </c>
      <c r="BT741" t="str">
        <f>HYPERLINK("https%3A%2F%2Fwww.webofscience.com%2Fwos%2Fwoscc%2Ffull-record%2FWOS:000180427400010","View Full Record in Web of Science")</f>
        <v>View Full Record in Web of Science</v>
      </c>
    </row>
    <row r="742" spans="1:72" x14ac:dyDescent="0.15">
      <c r="A742" t="s">
        <v>552</v>
      </c>
      <c r="B742" t="s">
        <v>10347</v>
      </c>
      <c r="C742" t="s">
        <v>74</v>
      </c>
      <c r="D742" t="s">
        <v>74</v>
      </c>
      <c r="E742" t="s">
        <v>74</v>
      </c>
      <c r="F742" t="s">
        <v>10347</v>
      </c>
      <c r="G742" t="s">
        <v>74</v>
      </c>
      <c r="H742" t="s">
        <v>74</v>
      </c>
      <c r="I742" t="s">
        <v>10348</v>
      </c>
      <c r="J742" t="s">
        <v>5091</v>
      </c>
      <c r="K742" t="s">
        <v>74</v>
      </c>
      <c r="L742" t="s">
        <v>74</v>
      </c>
      <c r="M742" t="s">
        <v>78</v>
      </c>
      <c r="N742" t="s">
        <v>775</v>
      </c>
      <c r="O742" t="s">
        <v>74</v>
      </c>
      <c r="P742" t="s">
        <v>74</v>
      </c>
      <c r="Q742" t="s">
        <v>74</v>
      </c>
      <c r="R742" t="s">
        <v>74</v>
      </c>
      <c r="S742" t="s">
        <v>74</v>
      </c>
      <c r="T742" t="s">
        <v>74</v>
      </c>
      <c r="U742" t="s">
        <v>10349</v>
      </c>
      <c r="V742" t="s">
        <v>10350</v>
      </c>
      <c r="W742" t="s">
        <v>10351</v>
      </c>
      <c r="X742" t="s">
        <v>10352</v>
      </c>
      <c r="Y742" t="s">
        <v>10353</v>
      </c>
      <c r="Z742" t="s">
        <v>10354</v>
      </c>
      <c r="AA742" t="s">
        <v>10355</v>
      </c>
      <c r="AB742" t="s">
        <v>10356</v>
      </c>
      <c r="AC742" t="s">
        <v>74</v>
      </c>
      <c r="AD742" t="s">
        <v>74</v>
      </c>
      <c r="AE742" t="s">
        <v>74</v>
      </c>
      <c r="AF742" t="s">
        <v>74</v>
      </c>
      <c r="AG742">
        <v>74</v>
      </c>
      <c r="AH742">
        <v>67</v>
      </c>
      <c r="AI742">
        <v>68</v>
      </c>
      <c r="AJ742">
        <v>0</v>
      </c>
      <c r="AK742">
        <v>4</v>
      </c>
      <c r="AL742" t="s">
        <v>387</v>
      </c>
      <c r="AM742" t="s">
        <v>388</v>
      </c>
      <c r="AN742" t="s">
        <v>389</v>
      </c>
      <c r="AO742" t="s">
        <v>5101</v>
      </c>
      <c r="AP742" t="s">
        <v>5188</v>
      </c>
      <c r="AQ742" t="s">
        <v>74</v>
      </c>
      <c r="AR742" t="s">
        <v>5102</v>
      </c>
      <c r="AS742" t="s">
        <v>5103</v>
      </c>
      <c r="AT742" t="s">
        <v>10125</v>
      </c>
      <c r="AU742">
        <v>2002</v>
      </c>
      <c r="AV742">
        <v>107</v>
      </c>
      <c r="AW742" t="s">
        <v>5475</v>
      </c>
      <c r="AX742" t="s">
        <v>74</v>
      </c>
      <c r="AY742" t="s">
        <v>74</v>
      </c>
      <c r="AZ742" t="s">
        <v>74</v>
      </c>
      <c r="BA742" t="s">
        <v>74</v>
      </c>
      <c r="BB742" t="s">
        <v>74</v>
      </c>
      <c r="BC742" t="s">
        <v>74</v>
      </c>
      <c r="BD742">
        <v>8173</v>
      </c>
      <c r="BE742" t="s">
        <v>10357</v>
      </c>
      <c r="BF742" t="str">
        <f>HYPERLINK("http://dx.doi.org/10.1029/2001JD000667","http://dx.doi.org/10.1029/2001JD000667")</f>
        <v>http://dx.doi.org/10.1029/2001JD000667</v>
      </c>
      <c r="BG742" t="s">
        <v>74</v>
      </c>
      <c r="BH742" t="s">
        <v>74</v>
      </c>
      <c r="BI742">
        <v>12</v>
      </c>
      <c r="BJ742" t="s">
        <v>1237</v>
      </c>
      <c r="BK742" t="s">
        <v>569</v>
      </c>
      <c r="BL742" t="s">
        <v>1237</v>
      </c>
      <c r="BM742" t="s">
        <v>10358</v>
      </c>
      <c r="BN742" t="s">
        <v>74</v>
      </c>
      <c r="BO742" t="s">
        <v>572</v>
      </c>
      <c r="BP742" t="s">
        <v>74</v>
      </c>
      <c r="BQ742" t="s">
        <v>74</v>
      </c>
      <c r="BR742" t="s">
        <v>98</v>
      </c>
      <c r="BS742" t="s">
        <v>10359</v>
      </c>
      <c r="BT742" t="str">
        <f>HYPERLINK("https%3A%2F%2Fwww.webofscience.com%2Fwos%2Fwoscc%2Ffull-record%2FWOS:000180490000011","View Full Record in Web of Science")</f>
        <v>View Full Record in Web of Science</v>
      </c>
    </row>
    <row r="743" spans="1:72" x14ac:dyDescent="0.15">
      <c r="A743" t="s">
        <v>552</v>
      </c>
      <c r="B743" t="s">
        <v>10360</v>
      </c>
      <c r="C743" t="s">
        <v>74</v>
      </c>
      <c r="D743" t="s">
        <v>74</v>
      </c>
      <c r="E743" t="s">
        <v>74</v>
      </c>
      <c r="F743" t="s">
        <v>10360</v>
      </c>
      <c r="G743" t="s">
        <v>74</v>
      </c>
      <c r="H743" t="s">
        <v>74</v>
      </c>
      <c r="I743" t="s">
        <v>10361</v>
      </c>
      <c r="J743" t="s">
        <v>5091</v>
      </c>
      <c r="K743" t="s">
        <v>74</v>
      </c>
      <c r="L743" t="s">
        <v>74</v>
      </c>
      <c r="M743" t="s">
        <v>78</v>
      </c>
      <c r="N743" t="s">
        <v>775</v>
      </c>
      <c r="O743" t="s">
        <v>74</v>
      </c>
      <c r="P743" t="s">
        <v>74</v>
      </c>
      <c r="Q743" t="s">
        <v>74</v>
      </c>
      <c r="R743" t="s">
        <v>74</v>
      </c>
      <c r="S743" t="s">
        <v>74</v>
      </c>
      <c r="T743" t="s">
        <v>10362</v>
      </c>
      <c r="U743" t="s">
        <v>10363</v>
      </c>
      <c r="V743" t="s">
        <v>10364</v>
      </c>
      <c r="W743" t="s">
        <v>10365</v>
      </c>
      <c r="X743" t="s">
        <v>10366</v>
      </c>
      <c r="Y743" t="s">
        <v>74</v>
      </c>
      <c r="Z743" t="s">
        <v>10367</v>
      </c>
      <c r="AA743" t="s">
        <v>10368</v>
      </c>
      <c r="AB743" t="s">
        <v>10369</v>
      </c>
      <c r="AC743" t="s">
        <v>74</v>
      </c>
      <c r="AD743" t="s">
        <v>74</v>
      </c>
      <c r="AE743" t="s">
        <v>74</v>
      </c>
      <c r="AF743" t="s">
        <v>74</v>
      </c>
      <c r="AG743">
        <v>22</v>
      </c>
      <c r="AH743">
        <v>5</v>
      </c>
      <c r="AI743">
        <v>5</v>
      </c>
      <c r="AJ743">
        <v>0</v>
      </c>
      <c r="AK743">
        <v>2</v>
      </c>
      <c r="AL743" t="s">
        <v>387</v>
      </c>
      <c r="AM743" t="s">
        <v>388</v>
      </c>
      <c r="AN743" t="s">
        <v>389</v>
      </c>
      <c r="AO743" t="s">
        <v>5101</v>
      </c>
      <c r="AP743" t="s">
        <v>5188</v>
      </c>
      <c r="AQ743" t="s">
        <v>74</v>
      </c>
      <c r="AR743" t="s">
        <v>5102</v>
      </c>
      <c r="AS743" t="s">
        <v>5103</v>
      </c>
      <c r="AT743" t="s">
        <v>10125</v>
      </c>
      <c r="AU743">
        <v>2002</v>
      </c>
      <c r="AV743">
        <v>107</v>
      </c>
      <c r="AW743" t="s">
        <v>5475</v>
      </c>
      <c r="AX743" t="s">
        <v>74</v>
      </c>
      <c r="AY743" t="s">
        <v>74</v>
      </c>
      <c r="AZ743" t="s">
        <v>74</v>
      </c>
      <c r="BA743" t="s">
        <v>74</v>
      </c>
      <c r="BB743" t="s">
        <v>74</v>
      </c>
      <c r="BC743" t="s">
        <v>74</v>
      </c>
      <c r="BD743">
        <v>8084</v>
      </c>
      <c r="BE743" t="s">
        <v>10370</v>
      </c>
      <c r="BF743" t="str">
        <f>HYPERLINK("http://dx.doi.org/10.1029/2001JD000692","http://dx.doi.org/10.1029/2001JD000692")</f>
        <v>http://dx.doi.org/10.1029/2001JD000692</v>
      </c>
      <c r="BG743" t="s">
        <v>74</v>
      </c>
      <c r="BH743" t="s">
        <v>74</v>
      </c>
      <c r="BI743">
        <v>13</v>
      </c>
      <c r="BJ743" t="s">
        <v>1237</v>
      </c>
      <c r="BK743" t="s">
        <v>569</v>
      </c>
      <c r="BL743" t="s">
        <v>1237</v>
      </c>
      <c r="BM743" t="s">
        <v>10358</v>
      </c>
      <c r="BN743" t="s">
        <v>74</v>
      </c>
      <c r="BO743" t="s">
        <v>794</v>
      </c>
      <c r="BP743" t="s">
        <v>74</v>
      </c>
      <c r="BQ743" t="s">
        <v>74</v>
      </c>
      <c r="BR743" t="s">
        <v>98</v>
      </c>
      <c r="BS743" t="s">
        <v>10371</v>
      </c>
      <c r="BT743" t="str">
        <f>HYPERLINK("https%3A%2F%2Fwww.webofscience.com%2Fwos%2Fwoscc%2Ffull-record%2FWOS:000180490000012","View Full Record in Web of Science")</f>
        <v>View Full Record in Web of Science</v>
      </c>
    </row>
    <row r="744" spans="1:72" x14ac:dyDescent="0.15">
      <c r="A744" t="s">
        <v>552</v>
      </c>
      <c r="B744" t="s">
        <v>10372</v>
      </c>
      <c r="C744" t="s">
        <v>74</v>
      </c>
      <c r="D744" t="s">
        <v>74</v>
      </c>
      <c r="E744" t="s">
        <v>74</v>
      </c>
      <c r="F744" t="s">
        <v>10372</v>
      </c>
      <c r="G744" t="s">
        <v>74</v>
      </c>
      <c r="H744" t="s">
        <v>74</v>
      </c>
      <c r="I744" t="s">
        <v>10373</v>
      </c>
      <c r="J744" t="s">
        <v>5091</v>
      </c>
      <c r="K744" t="s">
        <v>74</v>
      </c>
      <c r="L744" t="s">
        <v>74</v>
      </c>
      <c r="M744" t="s">
        <v>78</v>
      </c>
      <c r="N744" t="s">
        <v>775</v>
      </c>
      <c r="O744" t="s">
        <v>74</v>
      </c>
      <c r="P744" t="s">
        <v>74</v>
      </c>
      <c r="Q744" t="s">
        <v>74</v>
      </c>
      <c r="R744" t="s">
        <v>74</v>
      </c>
      <c r="S744" t="s">
        <v>74</v>
      </c>
      <c r="T744" t="s">
        <v>10374</v>
      </c>
      <c r="U744" t="s">
        <v>10375</v>
      </c>
      <c r="V744" t="s">
        <v>10376</v>
      </c>
      <c r="W744" t="s">
        <v>10377</v>
      </c>
      <c r="X744" t="s">
        <v>10378</v>
      </c>
      <c r="Y744" t="s">
        <v>10379</v>
      </c>
      <c r="Z744" t="s">
        <v>74</v>
      </c>
      <c r="AA744" t="s">
        <v>10380</v>
      </c>
      <c r="AB744" t="s">
        <v>10381</v>
      </c>
      <c r="AC744" t="s">
        <v>74</v>
      </c>
      <c r="AD744" t="s">
        <v>74</v>
      </c>
      <c r="AE744" t="s">
        <v>74</v>
      </c>
      <c r="AF744" t="s">
        <v>74</v>
      </c>
      <c r="AG744">
        <v>15</v>
      </c>
      <c r="AH744">
        <v>8</v>
      </c>
      <c r="AI744">
        <v>8</v>
      </c>
      <c r="AJ744">
        <v>0</v>
      </c>
      <c r="AK744">
        <v>2</v>
      </c>
      <c r="AL744" t="s">
        <v>387</v>
      </c>
      <c r="AM744" t="s">
        <v>388</v>
      </c>
      <c r="AN744" t="s">
        <v>389</v>
      </c>
      <c r="AO744" t="s">
        <v>10382</v>
      </c>
      <c r="AP744" t="s">
        <v>74</v>
      </c>
      <c r="AQ744" t="s">
        <v>74</v>
      </c>
      <c r="AR744" t="s">
        <v>5102</v>
      </c>
      <c r="AS744" t="s">
        <v>5103</v>
      </c>
      <c r="AT744" t="s">
        <v>10125</v>
      </c>
      <c r="AU744">
        <v>2002</v>
      </c>
      <c r="AV744">
        <v>107</v>
      </c>
      <c r="AW744" t="s">
        <v>10383</v>
      </c>
      <c r="AX744" t="s">
        <v>74</v>
      </c>
      <c r="AY744" t="s">
        <v>74</v>
      </c>
      <c r="AZ744" t="s">
        <v>74</v>
      </c>
      <c r="BA744" t="s">
        <v>74</v>
      </c>
      <c r="BB744" t="s">
        <v>74</v>
      </c>
      <c r="BC744" t="s">
        <v>74</v>
      </c>
      <c r="BD744">
        <v>4387</v>
      </c>
      <c r="BE744" t="s">
        <v>10384</v>
      </c>
      <c r="BF744" t="str">
        <f>HYPERLINK("http://dx.doi.org/10.1029/2001JD002030","http://dx.doi.org/10.1029/2001JD002030")</f>
        <v>http://dx.doi.org/10.1029/2001JD002030</v>
      </c>
      <c r="BG744" t="s">
        <v>74</v>
      </c>
      <c r="BH744" t="s">
        <v>74</v>
      </c>
      <c r="BI744">
        <v>9</v>
      </c>
      <c r="BJ744" t="s">
        <v>1237</v>
      </c>
      <c r="BK744" t="s">
        <v>569</v>
      </c>
      <c r="BL744" t="s">
        <v>1237</v>
      </c>
      <c r="BM744" t="s">
        <v>10385</v>
      </c>
      <c r="BN744" t="s">
        <v>74</v>
      </c>
      <c r="BO744" t="s">
        <v>572</v>
      </c>
      <c r="BP744" t="s">
        <v>74</v>
      </c>
      <c r="BQ744" t="s">
        <v>74</v>
      </c>
      <c r="BR744" t="s">
        <v>98</v>
      </c>
      <c r="BS744" t="s">
        <v>10386</v>
      </c>
      <c r="BT744" t="str">
        <f>HYPERLINK("https%3A%2F%2Fwww.webofscience.com%2Fwos%2Fwoscc%2Ffull-record%2FWOS:000180428300054","View Full Record in Web of Science")</f>
        <v>View Full Record in Web of Science</v>
      </c>
    </row>
    <row r="745" spans="1:72" x14ac:dyDescent="0.15">
      <c r="A745" t="s">
        <v>552</v>
      </c>
      <c r="B745" t="s">
        <v>10387</v>
      </c>
      <c r="C745" t="s">
        <v>74</v>
      </c>
      <c r="D745" t="s">
        <v>74</v>
      </c>
      <c r="E745" t="s">
        <v>74</v>
      </c>
      <c r="F745" t="s">
        <v>10387</v>
      </c>
      <c r="G745" t="s">
        <v>74</v>
      </c>
      <c r="H745" t="s">
        <v>74</v>
      </c>
      <c r="I745" t="s">
        <v>10388</v>
      </c>
      <c r="J745" t="s">
        <v>5091</v>
      </c>
      <c r="K745" t="s">
        <v>74</v>
      </c>
      <c r="L745" t="s">
        <v>74</v>
      </c>
      <c r="M745" t="s">
        <v>78</v>
      </c>
      <c r="N745" t="s">
        <v>775</v>
      </c>
      <c r="O745" t="s">
        <v>74</v>
      </c>
      <c r="P745" t="s">
        <v>74</v>
      </c>
      <c r="Q745" t="s">
        <v>74</v>
      </c>
      <c r="R745" t="s">
        <v>74</v>
      </c>
      <c r="S745" t="s">
        <v>74</v>
      </c>
      <c r="T745" t="s">
        <v>10389</v>
      </c>
      <c r="U745" t="s">
        <v>10390</v>
      </c>
      <c r="V745" t="s">
        <v>10391</v>
      </c>
      <c r="W745" t="s">
        <v>10392</v>
      </c>
      <c r="X745" t="s">
        <v>10393</v>
      </c>
      <c r="Y745" t="s">
        <v>10394</v>
      </c>
      <c r="Z745" t="s">
        <v>74</v>
      </c>
      <c r="AA745" t="s">
        <v>74</v>
      </c>
      <c r="AB745" t="s">
        <v>74</v>
      </c>
      <c r="AC745" t="s">
        <v>74</v>
      </c>
      <c r="AD745" t="s">
        <v>74</v>
      </c>
      <c r="AE745" t="s">
        <v>74</v>
      </c>
      <c r="AF745" t="s">
        <v>74</v>
      </c>
      <c r="AG745">
        <v>25</v>
      </c>
      <c r="AH745">
        <v>25</v>
      </c>
      <c r="AI745">
        <v>25</v>
      </c>
      <c r="AJ745">
        <v>0</v>
      </c>
      <c r="AK745">
        <v>4</v>
      </c>
      <c r="AL745" t="s">
        <v>387</v>
      </c>
      <c r="AM745" t="s">
        <v>388</v>
      </c>
      <c r="AN745" t="s">
        <v>389</v>
      </c>
      <c r="AO745" t="s">
        <v>10382</v>
      </c>
      <c r="AP745" t="s">
        <v>74</v>
      </c>
      <c r="AQ745" t="s">
        <v>74</v>
      </c>
      <c r="AR745" t="s">
        <v>5102</v>
      </c>
      <c r="AS745" t="s">
        <v>5103</v>
      </c>
      <c r="AT745" t="s">
        <v>10125</v>
      </c>
      <c r="AU745">
        <v>2002</v>
      </c>
      <c r="AV745">
        <v>107</v>
      </c>
      <c r="AW745" t="s">
        <v>10395</v>
      </c>
      <c r="AX745" t="s">
        <v>74</v>
      </c>
      <c r="AY745" t="s">
        <v>74</v>
      </c>
      <c r="AZ745" t="s">
        <v>74</v>
      </c>
      <c r="BA745" t="s">
        <v>74</v>
      </c>
      <c r="BB745" t="s">
        <v>74</v>
      </c>
      <c r="BC745" t="s">
        <v>74</v>
      </c>
      <c r="BD745">
        <v>8290</v>
      </c>
      <c r="BE745" t="s">
        <v>10396</v>
      </c>
      <c r="BF745" t="str">
        <f>HYPERLINK("http://dx.doi.org/10.1029/2001JD001184","http://dx.doi.org/10.1029/2001JD001184")</f>
        <v>http://dx.doi.org/10.1029/2001JD001184</v>
      </c>
      <c r="BG745" t="s">
        <v>74</v>
      </c>
      <c r="BH745" t="s">
        <v>74</v>
      </c>
      <c r="BI745">
        <v>11</v>
      </c>
      <c r="BJ745" t="s">
        <v>1237</v>
      </c>
      <c r="BK745" t="s">
        <v>569</v>
      </c>
      <c r="BL745" t="s">
        <v>1237</v>
      </c>
      <c r="BM745" t="s">
        <v>10397</v>
      </c>
      <c r="BN745" t="s">
        <v>74</v>
      </c>
      <c r="BO745" t="s">
        <v>74</v>
      </c>
      <c r="BP745" t="s">
        <v>74</v>
      </c>
      <c r="BQ745" t="s">
        <v>74</v>
      </c>
      <c r="BR745" t="s">
        <v>98</v>
      </c>
      <c r="BS745" t="s">
        <v>10398</v>
      </c>
      <c r="BT745" t="str">
        <f>HYPERLINK("https%3A%2F%2Fwww.webofscience.com%2Fwos%2Fwoscc%2Ffull-record%2FWOS:000180466200068","View Full Record in Web of Science")</f>
        <v>View Full Record in Web of Science</v>
      </c>
    </row>
    <row r="746" spans="1:72" x14ac:dyDescent="0.15">
      <c r="A746" t="s">
        <v>552</v>
      </c>
      <c r="B746" t="s">
        <v>10399</v>
      </c>
      <c r="C746" t="s">
        <v>74</v>
      </c>
      <c r="D746" t="s">
        <v>74</v>
      </c>
      <c r="E746" t="s">
        <v>74</v>
      </c>
      <c r="F746" t="s">
        <v>10399</v>
      </c>
      <c r="G746" t="s">
        <v>74</v>
      </c>
      <c r="H746" t="s">
        <v>74</v>
      </c>
      <c r="I746" t="s">
        <v>10400</v>
      </c>
      <c r="J746" t="s">
        <v>5091</v>
      </c>
      <c r="K746" t="s">
        <v>74</v>
      </c>
      <c r="L746" t="s">
        <v>74</v>
      </c>
      <c r="M746" t="s">
        <v>78</v>
      </c>
      <c r="N746" t="s">
        <v>775</v>
      </c>
      <c r="O746" t="s">
        <v>74</v>
      </c>
      <c r="P746" t="s">
        <v>74</v>
      </c>
      <c r="Q746" t="s">
        <v>74</v>
      </c>
      <c r="R746" t="s">
        <v>74</v>
      </c>
      <c r="S746" t="s">
        <v>74</v>
      </c>
      <c r="T746" t="s">
        <v>10401</v>
      </c>
      <c r="U746" t="s">
        <v>10402</v>
      </c>
      <c r="V746" t="s">
        <v>10403</v>
      </c>
      <c r="W746" t="s">
        <v>10404</v>
      </c>
      <c r="X746" t="s">
        <v>10405</v>
      </c>
      <c r="Y746" t="s">
        <v>10406</v>
      </c>
      <c r="Z746" t="s">
        <v>74</v>
      </c>
      <c r="AA746" t="s">
        <v>74</v>
      </c>
      <c r="AB746" t="s">
        <v>10407</v>
      </c>
      <c r="AC746" t="s">
        <v>74</v>
      </c>
      <c r="AD746" t="s">
        <v>74</v>
      </c>
      <c r="AE746" t="s">
        <v>74</v>
      </c>
      <c r="AF746" t="s">
        <v>74</v>
      </c>
      <c r="AG746">
        <v>41</v>
      </c>
      <c r="AH746">
        <v>9</v>
      </c>
      <c r="AI746">
        <v>9</v>
      </c>
      <c r="AJ746">
        <v>0</v>
      </c>
      <c r="AK746">
        <v>6</v>
      </c>
      <c r="AL746" t="s">
        <v>387</v>
      </c>
      <c r="AM746" t="s">
        <v>388</v>
      </c>
      <c r="AN746" t="s">
        <v>389</v>
      </c>
      <c r="AO746" t="s">
        <v>10382</v>
      </c>
      <c r="AP746" t="s">
        <v>74</v>
      </c>
      <c r="AQ746" t="s">
        <v>74</v>
      </c>
      <c r="AR746" t="s">
        <v>5102</v>
      </c>
      <c r="AS746" t="s">
        <v>5103</v>
      </c>
      <c r="AT746" t="s">
        <v>9785</v>
      </c>
      <c r="AU746">
        <v>2002</v>
      </c>
      <c r="AV746">
        <v>107</v>
      </c>
      <c r="AW746" t="s">
        <v>10408</v>
      </c>
      <c r="AX746" t="s">
        <v>74</v>
      </c>
      <c r="AY746" t="s">
        <v>74</v>
      </c>
      <c r="AZ746" t="s">
        <v>74</v>
      </c>
      <c r="BA746" t="s">
        <v>74</v>
      </c>
      <c r="BB746" t="s">
        <v>74</v>
      </c>
      <c r="BC746" t="s">
        <v>74</v>
      </c>
      <c r="BD746">
        <v>4328</v>
      </c>
      <c r="BE746" t="s">
        <v>10409</v>
      </c>
      <c r="BF746" t="str">
        <f>HYPERLINK("http://dx.doi.org/10.1029/2001JD001363","http://dx.doi.org/10.1029/2001JD001363")</f>
        <v>http://dx.doi.org/10.1029/2001JD001363</v>
      </c>
      <c r="BG746" t="s">
        <v>74</v>
      </c>
      <c r="BH746" t="s">
        <v>74</v>
      </c>
      <c r="BI746">
        <v>14</v>
      </c>
      <c r="BJ746" t="s">
        <v>1237</v>
      </c>
      <c r="BK746" t="s">
        <v>569</v>
      </c>
      <c r="BL746" t="s">
        <v>1237</v>
      </c>
      <c r="BM746" t="s">
        <v>10410</v>
      </c>
      <c r="BN746" t="s">
        <v>74</v>
      </c>
      <c r="BO746" t="s">
        <v>794</v>
      </c>
      <c r="BP746" t="s">
        <v>74</v>
      </c>
      <c r="BQ746" t="s">
        <v>74</v>
      </c>
      <c r="BR746" t="s">
        <v>98</v>
      </c>
      <c r="BS746" t="s">
        <v>10411</v>
      </c>
      <c r="BT746" t="str">
        <f>HYPERLINK("https%3A%2F%2Fwww.webofscience.com%2Fwos%2Fwoscc%2Ffull-record%2FWOS:000180427200008","View Full Record in Web of Science")</f>
        <v>View Full Record in Web of Science</v>
      </c>
    </row>
    <row r="747" spans="1:72" x14ac:dyDescent="0.15">
      <c r="A747" t="s">
        <v>552</v>
      </c>
      <c r="B747" t="s">
        <v>10412</v>
      </c>
      <c r="C747" t="s">
        <v>74</v>
      </c>
      <c r="D747" t="s">
        <v>74</v>
      </c>
      <c r="E747" t="s">
        <v>74</v>
      </c>
      <c r="F747" t="s">
        <v>10412</v>
      </c>
      <c r="G747" t="s">
        <v>74</v>
      </c>
      <c r="H747" t="s">
        <v>74</v>
      </c>
      <c r="I747" t="s">
        <v>10413</v>
      </c>
      <c r="J747" t="s">
        <v>5091</v>
      </c>
      <c r="K747" t="s">
        <v>74</v>
      </c>
      <c r="L747" t="s">
        <v>74</v>
      </c>
      <c r="M747" t="s">
        <v>78</v>
      </c>
      <c r="N747" t="s">
        <v>775</v>
      </c>
      <c r="O747" t="s">
        <v>74</v>
      </c>
      <c r="P747" t="s">
        <v>74</v>
      </c>
      <c r="Q747" t="s">
        <v>74</v>
      </c>
      <c r="R747" t="s">
        <v>74</v>
      </c>
      <c r="S747" t="s">
        <v>74</v>
      </c>
      <c r="T747" t="s">
        <v>74</v>
      </c>
      <c r="U747" t="s">
        <v>10414</v>
      </c>
      <c r="V747" t="s">
        <v>10415</v>
      </c>
      <c r="W747" t="s">
        <v>10416</v>
      </c>
      <c r="X747" t="s">
        <v>10417</v>
      </c>
      <c r="Y747" t="s">
        <v>10418</v>
      </c>
      <c r="Z747" t="s">
        <v>10419</v>
      </c>
      <c r="AA747" t="s">
        <v>10420</v>
      </c>
      <c r="AB747" t="s">
        <v>10421</v>
      </c>
      <c r="AC747" t="s">
        <v>74</v>
      </c>
      <c r="AD747" t="s">
        <v>74</v>
      </c>
      <c r="AE747" t="s">
        <v>74</v>
      </c>
      <c r="AF747" t="s">
        <v>74</v>
      </c>
      <c r="AG747">
        <v>34</v>
      </c>
      <c r="AH747">
        <v>6</v>
      </c>
      <c r="AI747">
        <v>6</v>
      </c>
      <c r="AJ747">
        <v>1</v>
      </c>
      <c r="AK747">
        <v>7</v>
      </c>
      <c r="AL747" t="s">
        <v>387</v>
      </c>
      <c r="AM747" t="s">
        <v>388</v>
      </c>
      <c r="AN747" t="s">
        <v>389</v>
      </c>
      <c r="AO747" t="s">
        <v>5101</v>
      </c>
      <c r="AP747" t="s">
        <v>5188</v>
      </c>
      <c r="AQ747" t="s">
        <v>74</v>
      </c>
      <c r="AR747" t="s">
        <v>5102</v>
      </c>
      <c r="AS747" t="s">
        <v>5103</v>
      </c>
      <c r="AT747" t="s">
        <v>10125</v>
      </c>
      <c r="AU747">
        <v>2002</v>
      </c>
      <c r="AV747">
        <v>107</v>
      </c>
      <c r="AW747" t="s">
        <v>5105</v>
      </c>
      <c r="AX747" t="s">
        <v>74</v>
      </c>
      <c r="AY747" t="s">
        <v>74</v>
      </c>
      <c r="AZ747" t="s">
        <v>74</v>
      </c>
      <c r="BA747" t="s">
        <v>74</v>
      </c>
      <c r="BB747" t="s">
        <v>74</v>
      </c>
      <c r="BC747" t="s">
        <v>74</v>
      </c>
      <c r="BD747">
        <v>8214</v>
      </c>
      <c r="BE747" t="s">
        <v>10422</v>
      </c>
      <c r="BF747" t="str">
        <f>HYPERLINK("http://dx.doi.org/10.1029/2001JD001164","http://dx.doi.org/10.1029/2001JD001164")</f>
        <v>http://dx.doi.org/10.1029/2001JD001164</v>
      </c>
      <c r="BG747" t="s">
        <v>74</v>
      </c>
      <c r="BH747" t="s">
        <v>74</v>
      </c>
      <c r="BI747">
        <v>13</v>
      </c>
      <c r="BJ747" t="s">
        <v>1237</v>
      </c>
      <c r="BK747" t="s">
        <v>569</v>
      </c>
      <c r="BL747" t="s">
        <v>1237</v>
      </c>
      <c r="BM747" t="s">
        <v>10330</v>
      </c>
      <c r="BN747" t="s">
        <v>74</v>
      </c>
      <c r="BO747" t="s">
        <v>572</v>
      </c>
      <c r="BP747" t="s">
        <v>74</v>
      </c>
      <c r="BQ747" t="s">
        <v>74</v>
      </c>
      <c r="BR747" t="s">
        <v>98</v>
      </c>
      <c r="BS747" t="s">
        <v>10423</v>
      </c>
      <c r="BT747" t="str">
        <f>HYPERLINK("https%3A%2F%2Fwww.webofscience.com%2Fwos%2Fwoscc%2Ffull-record%2FWOS:000180491900011","View Full Record in Web of Science")</f>
        <v>View Full Record in Web of Science</v>
      </c>
    </row>
    <row r="748" spans="1:72" x14ac:dyDescent="0.15">
      <c r="A748" t="s">
        <v>552</v>
      </c>
      <c r="B748" t="s">
        <v>10424</v>
      </c>
      <c r="C748" t="s">
        <v>74</v>
      </c>
      <c r="D748" t="s">
        <v>74</v>
      </c>
      <c r="E748" t="s">
        <v>74</v>
      </c>
      <c r="F748" t="s">
        <v>10424</v>
      </c>
      <c r="G748" t="s">
        <v>74</v>
      </c>
      <c r="H748" t="s">
        <v>74</v>
      </c>
      <c r="I748" t="s">
        <v>10425</v>
      </c>
      <c r="J748" t="s">
        <v>5111</v>
      </c>
      <c r="K748" t="s">
        <v>74</v>
      </c>
      <c r="L748" t="s">
        <v>74</v>
      </c>
      <c r="M748" t="s">
        <v>78</v>
      </c>
      <c r="N748" t="s">
        <v>775</v>
      </c>
      <c r="O748" t="s">
        <v>74</v>
      </c>
      <c r="P748" t="s">
        <v>74</v>
      </c>
      <c r="Q748" t="s">
        <v>74</v>
      </c>
      <c r="R748" t="s">
        <v>74</v>
      </c>
      <c r="S748" t="s">
        <v>74</v>
      </c>
      <c r="T748" t="s">
        <v>10426</v>
      </c>
      <c r="U748" t="s">
        <v>10427</v>
      </c>
      <c r="V748" t="s">
        <v>10428</v>
      </c>
      <c r="W748" t="s">
        <v>10429</v>
      </c>
      <c r="X748" t="s">
        <v>10430</v>
      </c>
      <c r="Y748" t="s">
        <v>10431</v>
      </c>
      <c r="Z748" t="s">
        <v>74</v>
      </c>
      <c r="AA748" t="s">
        <v>74</v>
      </c>
      <c r="AB748" t="s">
        <v>10432</v>
      </c>
      <c r="AC748" t="s">
        <v>74</v>
      </c>
      <c r="AD748" t="s">
        <v>74</v>
      </c>
      <c r="AE748" t="s">
        <v>74</v>
      </c>
      <c r="AF748" t="s">
        <v>74</v>
      </c>
      <c r="AG748">
        <v>37</v>
      </c>
      <c r="AH748">
        <v>29</v>
      </c>
      <c r="AI748">
        <v>31</v>
      </c>
      <c r="AJ748">
        <v>1</v>
      </c>
      <c r="AK748">
        <v>6</v>
      </c>
      <c r="AL748" t="s">
        <v>387</v>
      </c>
      <c r="AM748" t="s">
        <v>388</v>
      </c>
      <c r="AN748" t="s">
        <v>389</v>
      </c>
      <c r="AO748" t="s">
        <v>5120</v>
      </c>
      <c r="AP748" t="s">
        <v>5121</v>
      </c>
      <c r="AQ748" t="s">
        <v>74</v>
      </c>
      <c r="AR748" t="s">
        <v>5122</v>
      </c>
      <c r="AS748" t="s">
        <v>5123</v>
      </c>
      <c r="AT748" t="s">
        <v>10433</v>
      </c>
      <c r="AU748">
        <v>2002</v>
      </c>
      <c r="AV748">
        <v>107</v>
      </c>
      <c r="AW748" t="s">
        <v>5124</v>
      </c>
      <c r="AX748" t="s">
        <v>74</v>
      </c>
      <c r="AY748" t="s">
        <v>74</v>
      </c>
      <c r="AZ748" t="s">
        <v>74</v>
      </c>
      <c r="BA748" t="s">
        <v>74</v>
      </c>
      <c r="BB748" t="s">
        <v>74</v>
      </c>
      <c r="BC748" t="s">
        <v>74</v>
      </c>
      <c r="BD748">
        <v>8009</v>
      </c>
      <c r="BE748" t="s">
        <v>10434</v>
      </c>
      <c r="BF748" t="str">
        <f>HYPERLINK("http://dx.doi.org/10.1029/2001JC001118","http://dx.doi.org/10.1029/2001JC001118")</f>
        <v>http://dx.doi.org/10.1029/2001JC001118</v>
      </c>
      <c r="BG748" t="s">
        <v>74</v>
      </c>
      <c r="BH748" t="s">
        <v>74</v>
      </c>
      <c r="BI748">
        <v>16</v>
      </c>
      <c r="BJ748" t="s">
        <v>1394</v>
      </c>
      <c r="BK748" t="s">
        <v>569</v>
      </c>
      <c r="BL748" t="s">
        <v>1394</v>
      </c>
      <c r="BM748" t="s">
        <v>10435</v>
      </c>
      <c r="BN748" t="s">
        <v>74</v>
      </c>
      <c r="BO748" t="s">
        <v>572</v>
      </c>
      <c r="BP748" t="s">
        <v>74</v>
      </c>
      <c r="BQ748" t="s">
        <v>74</v>
      </c>
      <c r="BR748" t="s">
        <v>98</v>
      </c>
      <c r="BS748" t="s">
        <v>10436</v>
      </c>
      <c r="BT748" t="str">
        <f>HYPERLINK("https%3A%2F%2Fwww.webofscience.com%2Fwos%2Fwoscc%2Ffull-record%2FWOS:000180574100009","View Full Record in Web of Science")</f>
        <v>View Full Record in Web of Science</v>
      </c>
    </row>
    <row r="749" spans="1:72" x14ac:dyDescent="0.15">
      <c r="A749" t="s">
        <v>552</v>
      </c>
      <c r="B749" t="s">
        <v>10437</v>
      </c>
      <c r="C749" t="s">
        <v>74</v>
      </c>
      <c r="D749" t="s">
        <v>74</v>
      </c>
      <c r="E749" t="s">
        <v>74</v>
      </c>
      <c r="F749" t="s">
        <v>10437</v>
      </c>
      <c r="G749" t="s">
        <v>74</v>
      </c>
      <c r="H749" t="s">
        <v>74</v>
      </c>
      <c r="I749" t="s">
        <v>10438</v>
      </c>
      <c r="J749" t="s">
        <v>5111</v>
      </c>
      <c r="K749" t="s">
        <v>74</v>
      </c>
      <c r="L749" t="s">
        <v>74</v>
      </c>
      <c r="M749" t="s">
        <v>78</v>
      </c>
      <c r="N749" t="s">
        <v>775</v>
      </c>
      <c r="O749" t="s">
        <v>74</v>
      </c>
      <c r="P749" t="s">
        <v>74</v>
      </c>
      <c r="Q749" t="s">
        <v>74</v>
      </c>
      <c r="R749" t="s">
        <v>74</v>
      </c>
      <c r="S749" t="s">
        <v>74</v>
      </c>
      <c r="T749" t="s">
        <v>10439</v>
      </c>
      <c r="U749" t="s">
        <v>10440</v>
      </c>
      <c r="V749" t="s">
        <v>10441</v>
      </c>
      <c r="W749" t="s">
        <v>10442</v>
      </c>
      <c r="X749" t="s">
        <v>10443</v>
      </c>
      <c r="Y749" t="s">
        <v>74</v>
      </c>
      <c r="Z749" t="s">
        <v>10444</v>
      </c>
      <c r="AA749" t="s">
        <v>10445</v>
      </c>
      <c r="AB749" t="s">
        <v>10446</v>
      </c>
      <c r="AC749" t="s">
        <v>74</v>
      </c>
      <c r="AD749" t="s">
        <v>74</v>
      </c>
      <c r="AE749" t="s">
        <v>74</v>
      </c>
      <c r="AF749" t="s">
        <v>74</v>
      </c>
      <c r="AG749">
        <v>30</v>
      </c>
      <c r="AH749">
        <v>21</v>
      </c>
      <c r="AI749">
        <v>23</v>
      </c>
      <c r="AJ749">
        <v>0</v>
      </c>
      <c r="AK749">
        <v>3</v>
      </c>
      <c r="AL749" t="s">
        <v>387</v>
      </c>
      <c r="AM749" t="s">
        <v>388</v>
      </c>
      <c r="AN749" t="s">
        <v>389</v>
      </c>
      <c r="AO749" t="s">
        <v>5120</v>
      </c>
      <c r="AP749" t="s">
        <v>5121</v>
      </c>
      <c r="AQ749" t="s">
        <v>74</v>
      </c>
      <c r="AR749" t="s">
        <v>5122</v>
      </c>
      <c r="AS749" t="s">
        <v>5123</v>
      </c>
      <c r="AT749" t="s">
        <v>10125</v>
      </c>
      <c r="AU749">
        <v>2002</v>
      </c>
      <c r="AV749">
        <v>107</v>
      </c>
      <c r="AW749" t="s">
        <v>10447</v>
      </c>
      <c r="AX749" t="s">
        <v>74</v>
      </c>
      <c r="AY749" t="s">
        <v>74</v>
      </c>
      <c r="AZ749" t="s">
        <v>74</v>
      </c>
      <c r="BA749" t="s">
        <v>74</v>
      </c>
      <c r="BB749" t="s">
        <v>74</v>
      </c>
      <c r="BC749" t="s">
        <v>74</v>
      </c>
      <c r="BD749">
        <v>3162</v>
      </c>
      <c r="BE749" t="s">
        <v>10448</v>
      </c>
      <c r="BF749" t="str">
        <f>HYPERLINK("http://dx.doi.org/10.1029/2000JC000277","http://dx.doi.org/10.1029/2000JC000277")</f>
        <v>http://dx.doi.org/10.1029/2000JC000277</v>
      </c>
      <c r="BG749" t="s">
        <v>74</v>
      </c>
      <c r="BH749" t="s">
        <v>74</v>
      </c>
      <c r="BI749">
        <v>20</v>
      </c>
      <c r="BJ749" t="s">
        <v>1394</v>
      </c>
      <c r="BK749" t="s">
        <v>569</v>
      </c>
      <c r="BL749" t="s">
        <v>1394</v>
      </c>
      <c r="BM749" t="s">
        <v>10449</v>
      </c>
      <c r="BN749" t="s">
        <v>74</v>
      </c>
      <c r="BO749" t="s">
        <v>3220</v>
      </c>
      <c r="BP749" t="s">
        <v>74</v>
      </c>
      <c r="BQ749" t="s">
        <v>74</v>
      </c>
      <c r="BR749" t="s">
        <v>98</v>
      </c>
      <c r="BS749" t="s">
        <v>10450</v>
      </c>
      <c r="BT749" t="str">
        <f>HYPERLINK("https%3A%2F%2Fwww.webofscience.com%2Fwos%2Fwoscc%2Ffull-record%2FWOS:000180568000038","View Full Record in Web of Science")</f>
        <v>View Full Record in Web of Science</v>
      </c>
    </row>
    <row r="750" spans="1:72" x14ac:dyDescent="0.15">
      <c r="A750" t="s">
        <v>552</v>
      </c>
      <c r="B750" t="s">
        <v>10451</v>
      </c>
      <c r="C750" t="s">
        <v>74</v>
      </c>
      <c r="D750" t="s">
        <v>74</v>
      </c>
      <c r="E750" t="s">
        <v>74</v>
      </c>
      <c r="F750" t="s">
        <v>10451</v>
      </c>
      <c r="G750" t="s">
        <v>74</v>
      </c>
      <c r="H750" t="s">
        <v>74</v>
      </c>
      <c r="I750" t="s">
        <v>10452</v>
      </c>
      <c r="J750" t="s">
        <v>5111</v>
      </c>
      <c r="K750" t="s">
        <v>74</v>
      </c>
      <c r="L750" t="s">
        <v>74</v>
      </c>
      <c r="M750" t="s">
        <v>78</v>
      </c>
      <c r="N750" t="s">
        <v>775</v>
      </c>
      <c r="O750" t="s">
        <v>74</v>
      </c>
      <c r="P750" t="s">
        <v>74</v>
      </c>
      <c r="Q750" t="s">
        <v>74</v>
      </c>
      <c r="R750" t="s">
        <v>74</v>
      </c>
      <c r="S750" t="s">
        <v>74</v>
      </c>
      <c r="T750" t="s">
        <v>10453</v>
      </c>
      <c r="U750" t="s">
        <v>10454</v>
      </c>
      <c r="V750" t="s">
        <v>10455</v>
      </c>
      <c r="W750" t="s">
        <v>10456</v>
      </c>
      <c r="X750" t="s">
        <v>4058</v>
      </c>
      <c r="Y750" t="s">
        <v>10457</v>
      </c>
      <c r="Z750" t="s">
        <v>10458</v>
      </c>
      <c r="AA750" t="s">
        <v>10459</v>
      </c>
      <c r="AB750" t="s">
        <v>10460</v>
      </c>
      <c r="AC750" t="s">
        <v>74</v>
      </c>
      <c r="AD750" t="s">
        <v>74</v>
      </c>
      <c r="AE750" t="s">
        <v>74</v>
      </c>
      <c r="AF750" t="s">
        <v>74</v>
      </c>
      <c r="AG750">
        <v>42</v>
      </c>
      <c r="AH750">
        <v>68</v>
      </c>
      <c r="AI750">
        <v>75</v>
      </c>
      <c r="AJ750">
        <v>0</v>
      </c>
      <c r="AK750">
        <v>15</v>
      </c>
      <c r="AL750" t="s">
        <v>387</v>
      </c>
      <c r="AM750" t="s">
        <v>388</v>
      </c>
      <c r="AN750" t="s">
        <v>389</v>
      </c>
      <c r="AO750" t="s">
        <v>5120</v>
      </c>
      <c r="AP750" t="s">
        <v>5121</v>
      </c>
      <c r="AQ750" t="s">
        <v>74</v>
      </c>
      <c r="AR750" t="s">
        <v>5122</v>
      </c>
      <c r="AS750" t="s">
        <v>5123</v>
      </c>
      <c r="AT750" t="s">
        <v>10125</v>
      </c>
      <c r="AU750">
        <v>2002</v>
      </c>
      <c r="AV750">
        <v>107</v>
      </c>
      <c r="AW750" t="s">
        <v>10447</v>
      </c>
      <c r="AX750" t="s">
        <v>74</v>
      </c>
      <c r="AY750" t="s">
        <v>74</v>
      </c>
      <c r="AZ750" t="s">
        <v>74</v>
      </c>
      <c r="BA750" t="s">
        <v>74</v>
      </c>
      <c r="BB750" t="s">
        <v>74</v>
      </c>
      <c r="BC750" t="s">
        <v>74</v>
      </c>
      <c r="BD750">
        <v>3147</v>
      </c>
      <c r="BE750" t="s">
        <v>10461</v>
      </c>
      <c r="BF750" t="str">
        <f>HYPERLINK("http://dx.doi.org/10.1029/2001JC001114","http://dx.doi.org/10.1029/2001JC001114")</f>
        <v>http://dx.doi.org/10.1029/2001JC001114</v>
      </c>
      <c r="BG750" t="s">
        <v>74</v>
      </c>
      <c r="BH750" t="s">
        <v>74</v>
      </c>
      <c r="BI750">
        <v>19</v>
      </c>
      <c r="BJ750" t="s">
        <v>1394</v>
      </c>
      <c r="BK750" t="s">
        <v>569</v>
      </c>
      <c r="BL750" t="s">
        <v>1394</v>
      </c>
      <c r="BM750" t="s">
        <v>10449</v>
      </c>
      <c r="BN750" t="s">
        <v>74</v>
      </c>
      <c r="BO750" t="s">
        <v>590</v>
      </c>
      <c r="BP750" t="s">
        <v>74</v>
      </c>
      <c r="BQ750" t="s">
        <v>74</v>
      </c>
      <c r="BR750" t="s">
        <v>98</v>
      </c>
      <c r="BS750" t="s">
        <v>10462</v>
      </c>
      <c r="BT750" t="str">
        <f>HYPERLINK("https%3A%2F%2Fwww.webofscience.com%2Fwos%2Fwoscc%2Ffull-record%2FWOS:000180568000023","View Full Record in Web of Science")</f>
        <v>View Full Record in Web of Science</v>
      </c>
    </row>
    <row r="751" spans="1:72" x14ac:dyDescent="0.15">
      <c r="A751" t="s">
        <v>552</v>
      </c>
      <c r="B751" t="s">
        <v>10463</v>
      </c>
      <c r="C751" t="s">
        <v>74</v>
      </c>
      <c r="D751" t="s">
        <v>74</v>
      </c>
      <c r="E751" t="s">
        <v>74</v>
      </c>
      <c r="F751" t="s">
        <v>10463</v>
      </c>
      <c r="G751" t="s">
        <v>74</v>
      </c>
      <c r="H751" t="s">
        <v>74</v>
      </c>
      <c r="I751" t="s">
        <v>10464</v>
      </c>
      <c r="J751" t="s">
        <v>5111</v>
      </c>
      <c r="K751" t="s">
        <v>74</v>
      </c>
      <c r="L751" t="s">
        <v>74</v>
      </c>
      <c r="M751" t="s">
        <v>78</v>
      </c>
      <c r="N751" t="s">
        <v>775</v>
      </c>
      <c r="O751" t="s">
        <v>74</v>
      </c>
      <c r="P751" t="s">
        <v>74</v>
      </c>
      <c r="Q751" t="s">
        <v>74</v>
      </c>
      <c r="R751" t="s">
        <v>74</v>
      </c>
      <c r="S751" t="s">
        <v>74</v>
      </c>
      <c r="T751" t="s">
        <v>10465</v>
      </c>
      <c r="U751" t="s">
        <v>10466</v>
      </c>
      <c r="V751" t="s">
        <v>10467</v>
      </c>
      <c r="W751" t="s">
        <v>10468</v>
      </c>
      <c r="X751" t="s">
        <v>6093</v>
      </c>
      <c r="Y751" t="s">
        <v>10469</v>
      </c>
      <c r="Z751" t="s">
        <v>10470</v>
      </c>
      <c r="AA751" t="s">
        <v>10471</v>
      </c>
      <c r="AB751" t="s">
        <v>10472</v>
      </c>
      <c r="AC751" t="s">
        <v>74</v>
      </c>
      <c r="AD751" t="s">
        <v>74</v>
      </c>
      <c r="AE751" t="s">
        <v>74</v>
      </c>
      <c r="AF751" t="s">
        <v>74</v>
      </c>
      <c r="AG751">
        <v>52</v>
      </c>
      <c r="AH751">
        <v>48</v>
      </c>
      <c r="AI751">
        <v>51</v>
      </c>
      <c r="AJ751">
        <v>0</v>
      </c>
      <c r="AK751">
        <v>6</v>
      </c>
      <c r="AL751" t="s">
        <v>387</v>
      </c>
      <c r="AM751" t="s">
        <v>388</v>
      </c>
      <c r="AN751" t="s">
        <v>389</v>
      </c>
      <c r="AO751" t="s">
        <v>5120</v>
      </c>
      <c r="AP751" t="s">
        <v>5121</v>
      </c>
      <c r="AQ751" t="s">
        <v>74</v>
      </c>
      <c r="AR751" t="s">
        <v>5122</v>
      </c>
      <c r="AS751" t="s">
        <v>5123</v>
      </c>
      <c r="AT751" t="s">
        <v>10125</v>
      </c>
      <c r="AU751">
        <v>2002</v>
      </c>
      <c r="AV751">
        <v>107</v>
      </c>
      <c r="AW751" t="s">
        <v>10447</v>
      </c>
      <c r="AX751" t="s">
        <v>74</v>
      </c>
      <c r="AY751" t="s">
        <v>74</v>
      </c>
      <c r="AZ751" t="s">
        <v>74</v>
      </c>
      <c r="BA751" t="s">
        <v>74</v>
      </c>
      <c r="BB751" t="s">
        <v>74</v>
      </c>
      <c r="BC751" t="s">
        <v>74</v>
      </c>
      <c r="BD751">
        <v>3155</v>
      </c>
      <c r="BE751" t="s">
        <v>10473</v>
      </c>
      <c r="BF751" t="str">
        <f>HYPERLINK("http://dx.doi.org/10.1029/2001JC000787","http://dx.doi.org/10.1029/2001JC000787")</f>
        <v>http://dx.doi.org/10.1029/2001JC000787</v>
      </c>
      <c r="BG751" t="s">
        <v>74</v>
      </c>
      <c r="BH751" t="s">
        <v>74</v>
      </c>
      <c r="BI751">
        <v>22</v>
      </c>
      <c r="BJ751" t="s">
        <v>1394</v>
      </c>
      <c r="BK751" t="s">
        <v>569</v>
      </c>
      <c r="BL751" t="s">
        <v>1394</v>
      </c>
      <c r="BM751" t="s">
        <v>10449</v>
      </c>
      <c r="BN751" t="s">
        <v>74</v>
      </c>
      <c r="BO751" t="s">
        <v>3298</v>
      </c>
      <c r="BP751" t="s">
        <v>74</v>
      </c>
      <c r="BQ751" t="s">
        <v>74</v>
      </c>
      <c r="BR751" t="s">
        <v>98</v>
      </c>
      <c r="BS751" t="s">
        <v>10474</v>
      </c>
      <c r="BT751" t="str">
        <f>HYPERLINK("https%3A%2F%2Fwww.webofscience.com%2Fwos%2Fwoscc%2Ffull-record%2FWOS:000180568000031","View Full Record in Web of Science")</f>
        <v>View Full Record in Web of Science</v>
      </c>
    </row>
    <row r="752" spans="1:72" x14ac:dyDescent="0.15">
      <c r="A752" t="s">
        <v>552</v>
      </c>
      <c r="B752" t="s">
        <v>10475</v>
      </c>
      <c r="C752" t="s">
        <v>74</v>
      </c>
      <c r="D752" t="s">
        <v>74</v>
      </c>
      <c r="E752" t="s">
        <v>74</v>
      </c>
      <c r="F752" t="s">
        <v>10475</v>
      </c>
      <c r="G752" t="s">
        <v>74</v>
      </c>
      <c r="H752" t="s">
        <v>74</v>
      </c>
      <c r="I752" t="s">
        <v>10476</v>
      </c>
      <c r="J752" t="s">
        <v>5111</v>
      </c>
      <c r="K752" t="s">
        <v>74</v>
      </c>
      <c r="L752" t="s">
        <v>74</v>
      </c>
      <c r="M752" t="s">
        <v>78</v>
      </c>
      <c r="N752" t="s">
        <v>775</v>
      </c>
      <c r="O752" t="s">
        <v>74</v>
      </c>
      <c r="P752" t="s">
        <v>74</v>
      </c>
      <c r="Q752" t="s">
        <v>74</v>
      </c>
      <c r="R752" t="s">
        <v>74</v>
      </c>
      <c r="S752" t="s">
        <v>74</v>
      </c>
      <c r="T752" t="s">
        <v>10477</v>
      </c>
      <c r="U752" t="s">
        <v>10478</v>
      </c>
      <c r="V752" t="s">
        <v>10479</v>
      </c>
      <c r="W752" t="s">
        <v>10480</v>
      </c>
      <c r="X752" t="s">
        <v>10481</v>
      </c>
      <c r="Y752" t="s">
        <v>10482</v>
      </c>
      <c r="Z752" t="s">
        <v>10483</v>
      </c>
      <c r="AA752" t="s">
        <v>74</v>
      </c>
      <c r="AB752" t="s">
        <v>10484</v>
      </c>
      <c r="AC752" t="s">
        <v>74</v>
      </c>
      <c r="AD752" t="s">
        <v>74</v>
      </c>
      <c r="AE752" t="s">
        <v>74</v>
      </c>
      <c r="AF752" t="s">
        <v>74</v>
      </c>
      <c r="AG752">
        <v>19</v>
      </c>
      <c r="AH752">
        <v>28</v>
      </c>
      <c r="AI752">
        <v>34</v>
      </c>
      <c r="AJ752">
        <v>1</v>
      </c>
      <c r="AK752">
        <v>7</v>
      </c>
      <c r="AL752" t="s">
        <v>387</v>
      </c>
      <c r="AM752" t="s">
        <v>388</v>
      </c>
      <c r="AN752" t="s">
        <v>389</v>
      </c>
      <c r="AO752" t="s">
        <v>5120</v>
      </c>
      <c r="AP752" t="s">
        <v>5121</v>
      </c>
      <c r="AQ752" t="s">
        <v>74</v>
      </c>
      <c r="AR752" t="s">
        <v>5122</v>
      </c>
      <c r="AS752" t="s">
        <v>5123</v>
      </c>
      <c r="AT752" t="s">
        <v>9785</v>
      </c>
      <c r="AU752">
        <v>2002</v>
      </c>
      <c r="AV752">
        <v>107</v>
      </c>
      <c r="AW752" t="s">
        <v>10485</v>
      </c>
      <c r="AX752" t="s">
        <v>74</v>
      </c>
      <c r="AY752" t="s">
        <v>74</v>
      </c>
      <c r="AZ752" t="s">
        <v>74</v>
      </c>
      <c r="BA752" t="s">
        <v>74</v>
      </c>
      <c r="BB752" t="s">
        <v>74</v>
      </c>
      <c r="BC752" t="s">
        <v>74</v>
      </c>
      <c r="BD752">
        <v>3119</v>
      </c>
      <c r="BE752" t="s">
        <v>10486</v>
      </c>
      <c r="BF752" t="str">
        <f>HYPERLINK("http://dx.doi.org/10.1029/2001JC001187","http://dx.doi.org/10.1029/2001JC001187")</f>
        <v>http://dx.doi.org/10.1029/2001JC001187</v>
      </c>
      <c r="BG752" t="s">
        <v>74</v>
      </c>
      <c r="BH752" t="s">
        <v>74</v>
      </c>
      <c r="BI752">
        <v>13</v>
      </c>
      <c r="BJ752" t="s">
        <v>1394</v>
      </c>
      <c r="BK752" t="s">
        <v>569</v>
      </c>
      <c r="BL752" t="s">
        <v>1394</v>
      </c>
      <c r="BM752" t="s">
        <v>10487</v>
      </c>
      <c r="BN752" t="s">
        <v>74</v>
      </c>
      <c r="BO752" t="s">
        <v>74</v>
      </c>
      <c r="BP752" t="s">
        <v>74</v>
      </c>
      <c r="BQ752" t="s">
        <v>74</v>
      </c>
      <c r="BR752" t="s">
        <v>98</v>
      </c>
      <c r="BS752" t="s">
        <v>10488</v>
      </c>
      <c r="BT752" t="str">
        <f>HYPERLINK("https%3A%2F%2Fwww.webofscience.com%2Fwos%2Fwoscc%2Ffull-record%2FWOS:000180546200002","View Full Record in Web of Science")</f>
        <v>View Full Record in Web of Science</v>
      </c>
    </row>
    <row r="753" spans="1:72" x14ac:dyDescent="0.15">
      <c r="A753" t="s">
        <v>552</v>
      </c>
      <c r="B753" t="s">
        <v>10489</v>
      </c>
      <c r="C753" t="s">
        <v>74</v>
      </c>
      <c r="D753" t="s">
        <v>74</v>
      </c>
      <c r="E753" t="s">
        <v>74</v>
      </c>
      <c r="F753" t="s">
        <v>10489</v>
      </c>
      <c r="G753" t="s">
        <v>74</v>
      </c>
      <c r="H753" t="s">
        <v>74</v>
      </c>
      <c r="I753" t="s">
        <v>10490</v>
      </c>
      <c r="J753" t="s">
        <v>5111</v>
      </c>
      <c r="K753" t="s">
        <v>74</v>
      </c>
      <c r="L753" t="s">
        <v>74</v>
      </c>
      <c r="M753" t="s">
        <v>78</v>
      </c>
      <c r="N753" t="s">
        <v>775</v>
      </c>
      <c r="O753" t="s">
        <v>74</v>
      </c>
      <c r="P753" t="s">
        <v>74</v>
      </c>
      <c r="Q753" t="s">
        <v>74</v>
      </c>
      <c r="R753" t="s">
        <v>74</v>
      </c>
      <c r="S753" t="s">
        <v>74</v>
      </c>
      <c r="T753" t="s">
        <v>10491</v>
      </c>
      <c r="U753" t="s">
        <v>10492</v>
      </c>
      <c r="V753" t="s">
        <v>10493</v>
      </c>
      <c r="W753" t="s">
        <v>10494</v>
      </c>
      <c r="X753" t="s">
        <v>10495</v>
      </c>
      <c r="Y753" t="s">
        <v>2932</v>
      </c>
      <c r="Z753" t="s">
        <v>10496</v>
      </c>
      <c r="AA753" t="s">
        <v>74</v>
      </c>
      <c r="AB753" t="s">
        <v>10497</v>
      </c>
      <c r="AC753" t="s">
        <v>74</v>
      </c>
      <c r="AD753" t="s">
        <v>74</v>
      </c>
      <c r="AE753" t="s">
        <v>74</v>
      </c>
      <c r="AF753" t="s">
        <v>74</v>
      </c>
      <c r="AG753">
        <v>30</v>
      </c>
      <c r="AH753">
        <v>44</v>
      </c>
      <c r="AI753">
        <v>46</v>
      </c>
      <c r="AJ753">
        <v>0</v>
      </c>
      <c r="AK753">
        <v>8</v>
      </c>
      <c r="AL753" t="s">
        <v>387</v>
      </c>
      <c r="AM753" t="s">
        <v>388</v>
      </c>
      <c r="AN753" t="s">
        <v>389</v>
      </c>
      <c r="AO753" t="s">
        <v>5120</v>
      </c>
      <c r="AP753" t="s">
        <v>5121</v>
      </c>
      <c r="AQ753" t="s">
        <v>74</v>
      </c>
      <c r="AR753" t="s">
        <v>5122</v>
      </c>
      <c r="AS753" t="s">
        <v>5123</v>
      </c>
      <c r="AT753" t="s">
        <v>10125</v>
      </c>
      <c r="AU753">
        <v>2002</v>
      </c>
      <c r="AV753">
        <v>107</v>
      </c>
      <c r="AW753" t="s">
        <v>10447</v>
      </c>
      <c r="AX753" t="s">
        <v>74</v>
      </c>
      <c r="AY753" t="s">
        <v>74</v>
      </c>
      <c r="AZ753" t="s">
        <v>74</v>
      </c>
      <c r="BA753" t="s">
        <v>74</v>
      </c>
      <c r="BB753" t="s">
        <v>74</v>
      </c>
      <c r="BC753" t="s">
        <v>74</v>
      </c>
      <c r="BD753">
        <v>3165</v>
      </c>
      <c r="BE753" t="s">
        <v>10498</v>
      </c>
      <c r="BF753" t="str">
        <f>HYPERLINK("http://dx.doi.org/10.1029/2000JC000581","http://dx.doi.org/10.1029/2000JC000581")</f>
        <v>http://dx.doi.org/10.1029/2000JC000581</v>
      </c>
      <c r="BG753" t="s">
        <v>74</v>
      </c>
      <c r="BH753" t="s">
        <v>74</v>
      </c>
      <c r="BI753">
        <v>17</v>
      </c>
      <c r="BJ753" t="s">
        <v>1394</v>
      </c>
      <c r="BK753" t="s">
        <v>569</v>
      </c>
      <c r="BL753" t="s">
        <v>1394</v>
      </c>
      <c r="BM753" t="s">
        <v>10449</v>
      </c>
      <c r="BN753" t="s">
        <v>74</v>
      </c>
      <c r="BO753" t="s">
        <v>74</v>
      </c>
      <c r="BP753" t="s">
        <v>74</v>
      </c>
      <c r="BQ753" t="s">
        <v>74</v>
      </c>
      <c r="BR753" t="s">
        <v>98</v>
      </c>
      <c r="BS753" t="s">
        <v>10499</v>
      </c>
      <c r="BT753" t="str">
        <f>HYPERLINK("https%3A%2F%2Fwww.webofscience.com%2Fwos%2Fwoscc%2Ffull-record%2FWOS:000180568000042","View Full Record in Web of Science")</f>
        <v>View Full Record in Web of Science</v>
      </c>
    </row>
    <row r="754" spans="1:72" x14ac:dyDescent="0.15">
      <c r="A754" t="s">
        <v>552</v>
      </c>
      <c r="B754" t="s">
        <v>10500</v>
      </c>
      <c r="C754" t="s">
        <v>74</v>
      </c>
      <c r="D754" t="s">
        <v>74</v>
      </c>
      <c r="E754" t="s">
        <v>74</v>
      </c>
      <c r="F754" t="s">
        <v>10500</v>
      </c>
      <c r="G754" t="s">
        <v>74</v>
      </c>
      <c r="H754" t="s">
        <v>74</v>
      </c>
      <c r="I754" t="s">
        <v>10501</v>
      </c>
      <c r="J754" t="s">
        <v>5495</v>
      </c>
      <c r="K754" t="s">
        <v>74</v>
      </c>
      <c r="L754" t="s">
        <v>74</v>
      </c>
      <c r="M754" t="s">
        <v>78</v>
      </c>
      <c r="N754" t="s">
        <v>1114</v>
      </c>
      <c r="O754" t="s">
        <v>74</v>
      </c>
      <c r="P754" t="s">
        <v>74</v>
      </c>
      <c r="Q754" t="s">
        <v>74</v>
      </c>
      <c r="R754" t="s">
        <v>74</v>
      </c>
      <c r="S754" t="s">
        <v>74</v>
      </c>
      <c r="T754" t="s">
        <v>10502</v>
      </c>
      <c r="U754" t="s">
        <v>10503</v>
      </c>
      <c r="V754" t="s">
        <v>10504</v>
      </c>
      <c r="W754" t="s">
        <v>10505</v>
      </c>
      <c r="X754" t="s">
        <v>10506</v>
      </c>
      <c r="Y754" t="s">
        <v>10507</v>
      </c>
      <c r="Z754" t="s">
        <v>10508</v>
      </c>
      <c r="AA754" t="s">
        <v>10509</v>
      </c>
      <c r="AB754" t="s">
        <v>10510</v>
      </c>
      <c r="AC754" t="s">
        <v>74</v>
      </c>
      <c r="AD754" t="s">
        <v>74</v>
      </c>
      <c r="AE754" t="s">
        <v>74</v>
      </c>
      <c r="AF754" t="s">
        <v>74</v>
      </c>
      <c r="AG754">
        <v>112</v>
      </c>
      <c r="AH754">
        <v>129</v>
      </c>
      <c r="AI754">
        <v>140</v>
      </c>
      <c r="AJ754">
        <v>0</v>
      </c>
      <c r="AK754">
        <v>18</v>
      </c>
      <c r="AL754" t="s">
        <v>387</v>
      </c>
      <c r="AM754" t="s">
        <v>388</v>
      </c>
      <c r="AN754" t="s">
        <v>389</v>
      </c>
      <c r="AO754" t="s">
        <v>5505</v>
      </c>
      <c r="AP754" t="s">
        <v>5506</v>
      </c>
      <c r="AQ754" t="s">
        <v>74</v>
      </c>
      <c r="AR754" t="s">
        <v>5507</v>
      </c>
      <c r="AS754" t="s">
        <v>5508</v>
      </c>
      <c r="AT754" t="s">
        <v>9785</v>
      </c>
      <c r="AU754">
        <v>2002</v>
      </c>
      <c r="AV754">
        <v>107</v>
      </c>
      <c r="AW754" t="s">
        <v>10511</v>
      </c>
      <c r="AX754" t="s">
        <v>74</v>
      </c>
      <c r="AY754" t="s">
        <v>74</v>
      </c>
      <c r="AZ754" t="s">
        <v>74</v>
      </c>
      <c r="BA754" t="s">
        <v>74</v>
      </c>
      <c r="BB754" t="s">
        <v>74</v>
      </c>
      <c r="BC754" t="s">
        <v>74</v>
      </c>
      <c r="BD754">
        <v>2195</v>
      </c>
      <c r="BE754" t="s">
        <v>10512</v>
      </c>
      <c r="BF754" t="str">
        <f>HYPERLINK("http://dx.doi.org/10.1029/2001JB000515","http://dx.doi.org/10.1029/2001JB000515")</f>
        <v>http://dx.doi.org/10.1029/2001JB000515</v>
      </c>
      <c r="BG754" t="s">
        <v>74</v>
      </c>
      <c r="BH754" t="s">
        <v>74</v>
      </c>
      <c r="BI754">
        <v>22</v>
      </c>
      <c r="BJ754" t="s">
        <v>2068</v>
      </c>
      <c r="BK754" t="s">
        <v>569</v>
      </c>
      <c r="BL754" t="s">
        <v>2068</v>
      </c>
      <c r="BM754" t="s">
        <v>10513</v>
      </c>
      <c r="BN754" t="s">
        <v>74</v>
      </c>
      <c r="BO754" t="s">
        <v>3298</v>
      </c>
      <c r="BP754" t="s">
        <v>74</v>
      </c>
      <c r="BQ754" t="s">
        <v>74</v>
      </c>
      <c r="BR754" t="s">
        <v>98</v>
      </c>
      <c r="BS754" t="s">
        <v>10514</v>
      </c>
      <c r="BT754" t="str">
        <f>HYPERLINK("https%3A%2F%2Fwww.webofscience.com%2Fwos%2Fwoscc%2Ffull-record%2FWOS:000180366100019","View Full Record in Web of Science")</f>
        <v>View Full Record in Web of Science</v>
      </c>
    </row>
    <row r="755" spans="1:72" x14ac:dyDescent="0.15">
      <c r="A755" t="s">
        <v>552</v>
      </c>
      <c r="B755" t="s">
        <v>10515</v>
      </c>
      <c r="C755" t="s">
        <v>74</v>
      </c>
      <c r="D755" t="s">
        <v>74</v>
      </c>
      <c r="E755" t="s">
        <v>74</v>
      </c>
      <c r="F755" t="s">
        <v>10515</v>
      </c>
      <c r="G755" t="s">
        <v>74</v>
      </c>
      <c r="H755" t="s">
        <v>74</v>
      </c>
      <c r="I755" t="s">
        <v>10516</v>
      </c>
      <c r="J755" t="s">
        <v>5223</v>
      </c>
      <c r="K755" t="s">
        <v>74</v>
      </c>
      <c r="L755" t="s">
        <v>74</v>
      </c>
      <c r="M755" t="s">
        <v>78</v>
      </c>
      <c r="N755" t="s">
        <v>775</v>
      </c>
      <c r="O755" t="s">
        <v>74</v>
      </c>
      <c r="P755" t="s">
        <v>74</v>
      </c>
      <c r="Q755" t="s">
        <v>74</v>
      </c>
      <c r="R755" t="s">
        <v>74</v>
      </c>
      <c r="S755" t="s">
        <v>74</v>
      </c>
      <c r="T755" t="s">
        <v>10517</v>
      </c>
      <c r="U755" t="s">
        <v>10518</v>
      </c>
      <c r="V755" t="s">
        <v>10519</v>
      </c>
      <c r="W755" t="s">
        <v>10520</v>
      </c>
      <c r="X755" t="s">
        <v>10521</v>
      </c>
      <c r="Y755" t="s">
        <v>10522</v>
      </c>
      <c r="Z755" t="s">
        <v>10523</v>
      </c>
      <c r="AA755" t="s">
        <v>74</v>
      </c>
      <c r="AB755" t="s">
        <v>74</v>
      </c>
      <c r="AC755" t="s">
        <v>74</v>
      </c>
      <c r="AD755" t="s">
        <v>74</v>
      </c>
      <c r="AE755" t="s">
        <v>74</v>
      </c>
      <c r="AF755" t="s">
        <v>74</v>
      </c>
      <c r="AG755">
        <v>49</v>
      </c>
      <c r="AH755">
        <v>0</v>
      </c>
      <c r="AI755">
        <v>0</v>
      </c>
      <c r="AJ755">
        <v>0</v>
      </c>
      <c r="AK755">
        <v>2</v>
      </c>
      <c r="AL755" t="s">
        <v>387</v>
      </c>
      <c r="AM755" t="s">
        <v>388</v>
      </c>
      <c r="AN755" t="s">
        <v>389</v>
      </c>
      <c r="AO755" t="s">
        <v>5231</v>
      </c>
      <c r="AP755" t="s">
        <v>5232</v>
      </c>
      <c r="AQ755" t="s">
        <v>74</v>
      </c>
      <c r="AR755" t="s">
        <v>5233</v>
      </c>
      <c r="AS755" t="s">
        <v>5234</v>
      </c>
      <c r="AT755" t="s">
        <v>9785</v>
      </c>
      <c r="AU755">
        <v>2002</v>
      </c>
      <c r="AV755">
        <v>107</v>
      </c>
      <c r="AW755" t="s">
        <v>10524</v>
      </c>
      <c r="AX755" t="s">
        <v>74</v>
      </c>
      <c r="AY755" t="s">
        <v>74</v>
      </c>
      <c r="AZ755" t="s">
        <v>74</v>
      </c>
      <c r="BA755" t="s">
        <v>74</v>
      </c>
      <c r="BB755" t="s">
        <v>74</v>
      </c>
      <c r="BC755" t="s">
        <v>74</v>
      </c>
      <c r="BD755">
        <v>1232</v>
      </c>
      <c r="BE755" t="s">
        <v>10525</v>
      </c>
      <c r="BF755" t="str">
        <f>HYPERLINK("http://dx.doi.org/10.1029/2001JA000185","http://dx.doi.org/10.1029/2001JA000185")</f>
        <v>http://dx.doi.org/10.1029/2001JA000185</v>
      </c>
      <c r="BG755" t="s">
        <v>74</v>
      </c>
      <c r="BH755" t="s">
        <v>74</v>
      </c>
      <c r="BI755">
        <v>10</v>
      </c>
      <c r="BJ755" t="s">
        <v>4840</v>
      </c>
      <c r="BK755" t="s">
        <v>569</v>
      </c>
      <c r="BL755" t="s">
        <v>4840</v>
      </c>
      <c r="BM755" t="s">
        <v>10526</v>
      </c>
      <c r="BN755" t="s">
        <v>74</v>
      </c>
      <c r="BO755" t="s">
        <v>572</v>
      </c>
      <c r="BP755" t="s">
        <v>74</v>
      </c>
      <c r="BQ755" t="s">
        <v>74</v>
      </c>
      <c r="BR755" t="s">
        <v>98</v>
      </c>
      <c r="BS755" t="s">
        <v>10527</v>
      </c>
      <c r="BT755" t="str">
        <f>HYPERLINK("https%3A%2F%2Fwww.webofscience.com%2Fwos%2Fwoscc%2Ffull-record%2FWOS:000180343700008","View Full Record in Web of Science")</f>
        <v>View Full Record in Web of Science</v>
      </c>
    </row>
    <row r="756" spans="1:72" x14ac:dyDescent="0.15">
      <c r="A756" t="s">
        <v>552</v>
      </c>
      <c r="B756" t="s">
        <v>10528</v>
      </c>
      <c r="C756" t="s">
        <v>74</v>
      </c>
      <c r="D756" t="s">
        <v>74</v>
      </c>
      <c r="E756" t="s">
        <v>74</v>
      </c>
      <c r="F756" t="s">
        <v>10528</v>
      </c>
      <c r="G756" t="s">
        <v>74</v>
      </c>
      <c r="H756" t="s">
        <v>74</v>
      </c>
      <c r="I756" t="s">
        <v>10529</v>
      </c>
      <c r="J756" t="s">
        <v>2928</v>
      </c>
      <c r="K756" t="s">
        <v>74</v>
      </c>
      <c r="L756" t="s">
        <v>74</v>
      </c>
      <c r="M756" t="s">
        <v>78</v>
      </c>
      <c r="N756" t="s">
        <v>775</v>
      </c>
      <c r="O756" t="s">
        <v>74</v>
      </c>
      <c r="P756" t="s">
        <v>74</v>
      </c>
      <c r="Q756" t="s">
        <v>74</v>
      </c>
      <c r="R756" t="s">
        <v>74</v>
      </c>
      <c r="S756" t="s">
        <v>74</v>
      </c>
      <c r="T756" t="s">
        <v>74</v>
      </c>
      <c r="U756" t="s">
        <v>10530</v>
      </c>
      <c r="V756" t="s">
        <v>10531</v>
      </c>
      <c r="W756" t="s">
        <v>10532</v>
      </c>
      <c r="X756" t="s">
        <v>10533</v>
      </c>
      <c r="Y756" t="s">
        <v>10534</v>
      </c>
      <c r="Z756" t="s">
        <v>74</v>
      </c>
      <c r="AA756" t="s">
        <v>10535</v>
      </c>
      <c r="AB756" t="s">
        <v>10536</v>
      </c>
      <c r="AC756" t="s">
        <v>74</v>
      </c>
      <c r="AD756" t="s">
        <v>74</v>
      </c>
      <c r="AE756" t="s">
        <v>74</v>
      </c>
      <c r="AF756" t="s">
        <v>74</v>
      </c>
      <c r="AG756">
        <v>38</v>
      </c>
      <c r="AH756">
        <v>44</v>
      </c>
      <c r="AI756">
        <v>47</v>
      </c>
      <c r="AJ756">
        <v>1</v>
      </c>
      <c r="AK756">
        <v>12</v>
      </c>
      <c r="AL756" t="s">
        <v>10537</v>
      </c>
      <c r="AM756" t="s">
        <v>2935</v>
      </c>
      <c r="AN756" t="s">
        <v>10538</v>
      </c>
      <c r="AO756" t="s">
        <v>2937</v>
      </c>
      <c r="AP756" t="s">
        <v>74</v>
      </c>
      <c r="AQ756" t="s">
        <v>74</v>
      </c>
      <c r="AR756" t="s">
        <v>2939</v>
      </c>
      <c r="AS756" t="s">
        <v>2940</v>
      </c>
      <c r="AT756" t="s">
        <v>9785</v>
      </c>
      <c r="AU756">
        <v>2002</v>
      </c>
      <c r="AV756">
        <v>60</v>
      </c>
      <c r="AW756">
        <v>5</v>
      </c>
      <c r="AX756" t="s">
        <v>74</v>
      </c>
      <c r="AY756" t="s">
        <v>74</v>
      </c>
      <c r="AZ756" t="s">
        <v>74</v>
      </c>
      <c r="BA756" t="s">
        <v>74</v>
      </c>
      <c r="BB756">
        <v>639</v>
      </c>
      <c r="BC756">
        <v>676</v>
      </c>
      <c r="BD756" t="s">
        <v>74</v>
      </c>
      <c r="BE756" t="s">
        <v>10539</v>
      </c>
      <c r="BF756" t="str">
        <f>HYPERLINK("http://dx.doi.org/10.1357/002224002762688687","http://dx.doi.org/10.1357/002224002762688687")</f>
        <v>http://dx.doi.org/10.1357/002224002762688687</v>
      </c>
      <c r="BG756" t="s">
        <v>74</v>
      </c>
      <c r="BH756" t="s">
        <v>74</v>
      </c>
      <c r="BI756">
        <v>38</v>
      </c>
      <c r="BJ756" t="s">
        <v>1394</v>
      </c>
      <c r="BK756" t="s">
        <v>569</v>
      </c>
      <c r="BL756" t="s">
        <v>1394</v>
      </c>
      <c r="BM756" t="s">
        <v>10540</v>
      </c>
      <c r="BN756" t="s">
        <v>74</v>
      </c>
      <c r="BO756" t="s">
        <v>74</v>
      </c>
      <c r="BP756" t="s">
        <v>74</v>
      </c>
      <c r="BQ756" t="s">
        <v>74</v>
      </c>
      <c r="BR756" t="s">
        <v>98</v>
      </c>
      <c r="BS756" t="s">
        <v>10541</v>
      </c>
      <c r="BT756" t="str">
        <f>HYPERLINK("https%3A%2F%2Fwww.webofscience.com%2Fwos%2Fwoscc%2Ffull-record%2FWOS:000181209600001","View Full Record in Web of Science")</f>
        <v>View Full Record in Web of Science</v>
      </c>
    </row>
    <row r="757" spans="1:72" x14ac:dyDescent="0.15">
      <c r="A757" t="s">
        <v>552</v>
      </c>
      <c r="B757" t="s">
        <v>10542</v>
      </c>
      <c r="C757" t="s">
        <v>74</v>
      </c>
      <c r="D757" t="s">
        <v>74</v>
      </c>
      <c r="E757" t="s">
        <v>74</v>
      </c>
      <c r="F757" t="s">
        <v>10542</v>
      </c>
      <c r="G757" t="s">
        <v>74</v>
      </c>
      <c r="H757" t="s">
        <v>74</v>
      </c>
      <c r="I757" t="s">
        <v>10543</v>
      </c>
      <c r="J757" t="s">
        <v>2928</v>
      </c>
      <c r="K757" t="s">
        <v>74</v>
      </c>
      <c r="L757" t="s">
        <v>74</v>
      </c>
      <c r="M757" t="s">
        <v>78</v>
      </c>
      <c r="N757" t="s">
        <v>775</v>
      </c>
      <c r="O757" t="s">
        <v>74</v>
      </c>
      <c r="P757" t="s">
        <v>74</v>
      </c>
      <c r="Q757" t="s">
        <v>74</v>
      </c>
      <c r="R757" t="s">
        <v>74</v>
      </c>
      <c r="S757" t="s">
        <v>74</v>
      </c>
      <c r="T757" t="s">
        <v>74</v>
      </c>
      <c r="U757" t="s">
        <v>10544</v>
      </c>
      <c r="V757" t="s">
        <v>10545</v>
      </c>
      <c r="W757" t="s">
        <v>10546</v>
      </c>
      <c r="X757" t="s">
        <v>10547</v>
      </c>
      <c r="Y757" t="s">
        <v>10548</v>
      </c>
      <c r="Z757" t="s">
        <v>10549</v>
      </c>
      <c r="AA757" t="s">
        <v>10550</v>
      </c>
      <c r="AB757" t="s">
        <v>10551</v>
      </c>
      <c r="AC757" t="s">
        <v>74</v>
      </c>
      <c r="AD757" t="s">
        <v>74</v>
      </c>
      <c r="AE757" t="s">
        <v>74</v>
      </c>
      <c r="AF757" t="s">
        <v>74</v>
      </c>
      <c r="AG757">
        <v>51</v>
      </c>
      <c r="AH757">
        <v>8</v>
      </c>
      <c r="AI757">
        <v>8</v>
      </c>
      <c r="AJ757">
        <v>1</v>
      </c>
      <c r="AK757">
        <v>4</v>
      </c>
      <c r="AL757" t="s">
        <v>2934</v>
      </c>
      <c r="AM757" t="s">
        <v>2935</v>
      </c>
      <c r="AN757" t="s">
        <v>2936</v>
      </c>
      <c r="AO757" t="s">
        <v>2937</v>
      </c>
      <c r="AP757" t="s">
        <v>2938</v>
      </c>
      <c r="AQ757" t="s">
        <v>74</v>
      </c>
      <c r="AR757" t="s">
        <v>2939</v>
      </c>
      <c r="AS757" t="s">
        <v>2940</v>
      </c>
      <c r="AT757" t="s">
        <v>9785</v>
      </c>
      <c r="AU757">
        <v>2002</v>
      </c>
      <c r="AV757">
        <v>60</v>
      </c>
      <c r="AW757">
        <v>5</v>
      </c>
      <c r="AX757" t="s">
        <v>74</v>
      </c>
      <c r="AY757" t="s">
        <v>74</v>
      </c>
      <c r="AZ757" t="s">
        <v>74</v>
      </c>
      <c r="BA757" t="s">
        <v>74</v>
      </c>
      <c r="BB757">
        <v>677</v>
      </c>
      <c r="BC757">
        <v>697</v>
      </c>
      <c r="BD757" t="s">
        <v>74</v>
      </c>
      <c r="BE757" t="s">
        <v>10552</v>
      </c>
      <c r="BF757" t="str">
        <f>HYPERLINK("http://dx.doi.org/10.1357/002224002762688696","http://dx.doi.org/10.1357/002224002762688696")</f>
        <v>http://dx.doi.org/10.1357/002224002762688696</v>
      </c>
      <c r="BG757" t="s">
        <v>74</v>
      </c>
      <c r="BH757" t="s">
        <v>74</v>
      </c>
      <c r="BI757">
        <v>21</v>
      </c>
      <c r="BJ757" t="s">
        <v>1394</v>
      </c>
      <c r="BK757" t="s">
        <v>569</v>
      </c>
      <c r="BL757" t="s">
        <v>1394</v>
      </c>
      <c r="BM757" t="s">
        <v>10540</v>
      </c>
      <c r="BN757" t="s">
        <v>74</v>
      </c>
      <c r="BO757" t="s">
        <v>794</v>
      </c>
      <c r="BP757" t="s">
        <v>74</v>
      </c>
      <c r="BQ757" t="s">
        <v>74</v>
      </c>
      <c r="BR757" t="s">
        <v>98</v>
      </c>
      <c r="BS757" t="s">
        <v>10553</v>
      </c>
      <c r="BT757" t="str">
        <f>HYPERLINK("https%3A%2F%2Fwww.webofscience.com%2Fwos%2Fwoscc%2Ffull-record%2FWOS:000181209600002","View Full Record in Web of Science")</f>
        <v>View Full Record in Web of Science</v>
      </c>
    </row>
    <row r="758" spans="1:72" x14ac:dyDescent="0.15">
      <c r="A758" t="s">
        <v>552</v>
      </c>
      <c r="B758" t="s">
        <v>10554</v>
      </c>
      <c r="C758" t="s">
        <v>74</v>
      </c>
      <c r="D758" t="s">
        <v>74</v>
      </c>
      <c r="E758" t="s">
        <v>74</v>
      </c>
      <c r="F758" t="s">
        <v>10554</v>
      </c>
      <c r="G758" t="s">
        <v>74</v>
      </c>
      <c r="H758" t="s">
        <v>74</v>
      </c>
      <c r="I758" t="s">
        <v>10555</v>
      </c>
      <c r="J758" t="s">
        <v>5361</v>
      </c>
      <c r="K758" t="s">
        <v>74</v>
      </c>
      <c r="L758" t="s">
        <v>74</v>
      </c>
      <c r="M758" t="s">
        <v>78</v>
      </c>
      <c r="N758" t="s">
        <v>775</v>
      </c>
      <c r="O758" t="s">
        <v>74</v>
      </c>
      <c r="P758" t="s">
        <v>74</v>
      </c>
      <c r="Q758" t="s">
        <v>74</v>
      </c>
      <c r="R758" t="s">
        <v>74</v>
      </c>
      <c r="S758" t="s">
        <v>74</v>
      </c>
      <c r="T758" t="s">
        <v>10556</v>
      </c>
      <c r="U758" t="s">
        <v>10557</v>
      </c>
      <c r="V758" t="s">
        <v>10558</v>
      </c>
      <c r="W758" t="s">
        <v>10559</v>
      </c>
      <c r="X758" t="s">
        <v>10560</v>
      </c>
      <c r="Y758" t="s">
        <v>10561</v>
      </c>
      <c r="Z758" t="s">
        <v>74</v>
      </c>
      <c r="AA758" t="s">
        <v>10562</v>
      </c>
      <c r="AB758" t="s">
        <v>10563</v>
      </c>
      <c r="AC758" t="s">
        <v>74</v>
      </c>
      <c r="AD758" t="s">
        <v>74</v>
      </c>
      <c r="AE758" t="s">
        <v>74</v>
      </c>
      <c r="AF758" t="s">
        <v>74</v>
      </c>
      <c r="AG758">
        <v>59</v>
      </c>
      <c r="AH758">
        <v>25</v>
      </c>
      <c r="AI758">
        <v>25</v>
      </c>
      <c r="AJ758">
        <v>0</v>
      </c>
      <c r="AK758">
        <v>0</v>
      </c>
      <c r="AL758" t="s">
        <v>2060</v>
      </c>
      <c r="AM758" t="s">
        <v>2061</v>
      </c>
      <c r="AN758" t="s">
        <v>2167</v>
      </c>
      <c r="AO758" t="s">
        <v>5369</v>
      </c>
      <c r="AP758" t="s">
        <v>74</v>
      </c>
      <c r="AQ758" t="s">
        <v>74</v>
      </c>
      <c r="AR758" t="s">
        <v>5371</v>
      </c>
      <c r="AS758" t="s">
        <v>5372</v>
      </c>
      <c r="AT758" t="s">
        <v>9785</v>
      </c>
      <c r="AU758">
        <v>2002</v>
      </c>
      <c r="AV758">
        <v>36</v>
      </c>
      <c r="AW758">
        <v>13</v>
      </c>
      <c r="AX758" t="s">
        <v>74</v>
      </c>
      <c r="AY758" t="s">
        <v>74</v>
      </c>
      <c r="AZ758" t="s">
        <v>74</v>
      </c>
      <c r="BA758" t="s">
        <v>74</v>
      </c>
      <c r="BB758">
        <v>1509</v>
      </c>
      <c r="BC758">
        <v>1568</v>
      </c>
      <c r="BD758" t="s">
        <v>74</v>
      </c>
      <c r="BE758" t="s">
        <v>10564</v>
      </c>
      <c r="BF758" t="str">
        <f>HYPERLINK("http://dx.doi.org/10.1080/00222930110051716","http://dx.doi.org/10.1080/00222930110051716")</f>
        <v>http://dx.doi.org/10.1080/00222930110051716</v>
      </c>
      <c r="BG758" t="s">
        <v>74</v>
      </c>
      <c r="BH758" t="s">
        <v>74</v>
      </c>
      <c r="BI758">
        <v>60</v>
      </c>
      <c r="BJ758" t="s">
        <v>5374</v>
      </c>
      <c r="BK758" t="s">
        <v>569</v>
      </c>
      <c r="BL758" t="s">
        <v>5375</v>
      </c>
      <c r="BM758" t="s">
        <v>10565</v>
      </c>
      <c r="BN758" t="s">
        <v>74</v>
      </c>
      <c r="BO758" t="s">
        <v>74</v>
      </c>
      <c r="BP758" t="s">
        <v>74</v>
      </c>
      <c r="BQ758" t="s">
        <v>74</v>
      </c>
      <c r="BR758" t="s">
        <v>98</v>
      </c>
      <c r="BS758" t="s">
        <v>10566</v>
      </c>
      <c r="BT758" t="str">
        <f>HYPERLINK("https%3A%2F%2Fwww.webofscience.com%2Fwos%2Fwoscc%2Ffull-record%2FWOS:000177729200001","View Full Record in Web of Science")</f>
        <v>View Full Record in Web of Science</v>
      </c>
    </row>
    <row r="759" spans="1:72" x14ac:dyDescent="0.15">
      <c r="A759" t="s">
        <v>552</v>
      </c>
      <c r="B759" t="s">
        <v>10567</v>
      </c>
      <c r="C759" t="s">
        <v>74</v>
      </c>
      <c r="D759" t="s">
        <v>74</v>
      </c>
      <c r="E759" t="s">
        <v>74</v>
      </c>
      <c r="F759" t="s">
        <v>10567</v>
      </c>
      <c r="G759" t="s">
        <v>74</v>
      </c>
      <c r="H759" t="s">
        <v>74</v>
      </c>
      <c r="I759" t="s">
        <v>10568</v>
      </c>
      <c r="J759" t="s">
        <v>6324</v>
      </c>
      <c r="K759" t="s">
        <v>74</v>
      </c>
      <c r="L759" t="s">
        <v>74</v>
      </c>
      <c r="M759" t="s">
        <v>78</v>
      </c>
      <c r="N759" t="s">
        <v>775</v>
      </c>
      <c r="O759" t="s">
        <v>74</v>
      </c>
      <c r="P759" t="s">
        <v>74</v>
      </c>
      <c r="Q759" t="s">
        <v>74</v>
      </c>
      <c r="R759" t="s">
        <v>74</v>
      </c>
      <c r="S759" t="s">
        <v>74</v>
      </c>
      <c r="T759" t="s">
        <v>74</v>
      </c>
      <c r="U759" t="s">
        <v>10569</v>
      </c>
      <c r="V759" t="s">
        <v>10570</v>
      </c>
      <c r="W759" t="s">
        <v>10571</v>
      </c>
      <c r="X759" t="s">
        <v>584</v>
      </c>
      <c r="Y759" t="s">
        <v>10572</v>
      </c>
      <c r="Z759" t="s">
        <v>10573</v>
      </c>
      <c r="AA759" t="s">
        <v>74</v>
      </c>
      <c r="AB759" t="s">
        <v>74</v>
      </c>
      <c r="AC759" t="s">
        <v>74</v>
      </c>
      <c r="AD759" t="s">
        <v>74</v>
      </c>
      <c r="AE759" t="s">
        <v>74</v>
      </c>
      <c r="AF759" t="s">
        <v>74</v>
      </c>
      <c r="AG759">
        <v>55</v>
      </c>
      <c r="AH759">
        <v>40</v>
      </c>
      <c r="AI759">
        <v>41</v>
      </c>
      <c r="AJ759">
        <v>1</v>
      </c>
      <c r="AK759">
        <v>10</v>
      </c>
      <c r="AL759" t="s">
        <v>2652</v>
      </c>
      <c r="AM759" t="s">
        <v>2653</v>
      </c>
      <c r="AN759" t="s">
        <v>2654</v>
      </c>
      <c r="AO759" t="s">
        <v>6332</v>
      </c>
      <c r="AP759" t="s">
        <v>6333</v>
      </c>
      <c r="AQ759" t="s">
        <v>74</v>
      </c>
      <c r="AR759" t="s">
        <v>6334</v>
      </c>
      <c r="AS759" t="s">
        <v>6335</v>
      </c>
      <c r="AT759" t="s">
        <v>9785</v>
      </c>
      <c r="AU759">
        <v>2002</v>
      </c>
      <c r="AV759">
        <v>32</v>
      </c>
      <c r="AW759">
        <v>9</v>
      </c>
      <c r="AX759" t="s">
        <v>74</v>
      </c>
      <c r="AY759" t="s">
        <v>74</v>
      </c>
      <c r="AZ759" t="s">
        <v>74</v>
      </c>
      <c r="BA759" t="s">
        <v>74</v>
      </c>
      <c r="BB759">
        <v>2520</v>
      </c>
      <c r="BC759">
        <v>2540</v>
      </c>
      <c r="BD759" t="s">
        <v>74</v>
      </c>
      <c r="BE759" t="s">
        <v>10574</v>
      </c>
      <c r="BF759" t="str">
        <f>HYPERLINK("http://dx.doi.org/10.1175/1520-0485-32.9.2520","http://dx.doi.org/10.1175/1520-0485-32.9.2520")</f>
        <v>http://dx.doi.org/10.1175/1520-0485-32.9.2520</v>
      </c>
      <c r="BG759" t="s">
        <v>74</v>
      </c>
      <c r="BH759" t="s">
        <v>74</v>
      </c>
      <c r="BI759">
        <v>21</v>
      </c>
      <c r="BJ759" t="s">
        <v>1394</v>
      </c>
      <c r="BK759" t="s">
        <v>569</v>
      </c>
      <c r="BL759" t="s">
        <v>1394</v>
      </c>
      <c r="BM759" t="s">
        <v>10575</v>
      </c>
      <c r="BN759" t="s">
        <v>74</v>
      </c>
      <c r="BO759" t="s">
        <v>2660</v>
      </c>
      <c r="BP759" t="s">
        <v>74</v>
      </c>
      <c r="BQ759" t="s">
        <v>74</v>
      </c>
      <c r="BR759" t="s">
        <v>98</v>
      </c>
      <c r="BS759" t="s">
        <v>10576</v>
      </c>
      <c r="BT759" t="str">
        <f>HYPERLINK("https%3A%2F%2Fwww.webofscience.com%2Fwos%2Fwoscc%2Ffull-record%2FWOS:000177694700007","View Full Record in Web of Science")</f>
        <v>View Full Record in Web of Science</v>
      </c>
    </row>
    <row r="760" spans="1:72" x14ac:dyDescent="0.15">
      <c r="A760" t="s">
        <v>552</v>
      </c>
      <c r="B760" t="s">
        <v>10577</v>
      </c>
      <c r="C760" t="s">
        <v>74</v>
      </c>
      <c r="D760" t="s">
        <v>74</v>
      </c>
      <c r="E760" t="s">
        <v>74</v>
      </c>
      <c r="F760" t="s">
        <v>10577</v>
      </c>
      <c r="G760" t="s">
        <v>74</v>
      </c>
      <c r="H760" t="s">
        <v>74</v>
      </c>
      <c r="I760" t="s">
        <v>10578</v>
      </c>
      <c r="J760" t="s">
        <v>6324</v>
      </c>
      <c r="K760" t="s">
        <v>74</v>
      </c>
      <c r="L760" t="s">
        <v>74</v>
      </c>
      <c r="M760" t="s">
        <v>78</v>
      </c>
      <c r="N760" t="s">
        <v>775</v>
      </c>
      <c r="O760" t="s">
        <v>74</v>
      </c>
      <c r="P760" t="s">
        <v>74</v>
      </c>
      <c r="Q760" t="s">
        <v>74</v>
      </c>
      <c r="R760" t="s">
        <v>74</v>
      </c>
      <c r="S760" t="s">
        <v>74</v>
      </c>
      <c r="T760" t="s">
        <v>74</v>
      </c>
      <c r="U760" t="s">
        <v>10579</v>
      </c>
      <c r="V760" t="s">
        <v>10580</v>
      </c>
      <c r="W760" t="s">
        <v>10581</v>
      </c>
      <c r="X760" t="s">
        <v>10582</v>
      </c>
      <c r="Y760" t="s">
        <v>10583</v>
      </c>
      <c r="Z760" t="s">
        <v>74</v>
      </c>
      <c r="AA760" t="s">
        <v>10584</v>
      </c>
      <c r="AB760" t="s">
        <v>10585</v>
      </c>
      <c r="AC760" t="s">
        <v>74</v>
      </c>
      <c r="AD760" t="s">
        <v>74</v>
      </c>
      <c r="AE760" t="s">
        <v>74</v>
      </c>
      <c r="AF760" t="s">
        <v>74</v>
      </c>
      <c r="AG760">
        <v>47</v>
      </c>
      <c r="AH760">
        <v>16</v>
      </c>
      <c r="AI760">
        <v>17</v>
      </c>
      <c r="AJ760">
        <v>0</v>
      </c>
      <c r="AK760">
        <v>4</v>
      </c>
      <c r="AL760" t="s">
        <v>2652</v>
      </c>
      <c r="AM760" t="s">
        <v>2653</v>
      </c>
      <c r="AN760" t="s">
        <v>2654</v>
      </c>
      <c r="AO760" t="s">
        <v>6332</v>
      </c>
      <c r="AP760" t="s">
        <v>74</v>
      </c>
      <c r="AQ760" t="s">
        <v>74</v>
      </c>
      <c r="AR760" t="s">
        <v>6334</v>
      </c>
      <c r="AS760" t="s">
        <v>6335</v>
      </c>
      <c r="AT760" t="s">
        <v>9785</v>
      </c>
      <c r="AU760">
        <v>2002</v>
      </c>
      <c r="AV760">
        <v>32</v>
      </c>
      <c r="AW760">
        <v>9</v>
      </c>
      <c r="AX760" t="s">
        <v>74</v>
      </c>
      <c r="AY760" t="s">
        <v>74</v>
      </c>
      <c r="AZ760" t="s">
        <v>74</v>
      </c>
      <c r="BA760" t="s">
        <v>74</v>
      </c>
      <c r="BB760">
        <v>2707</v>
      </c>
      <c r="BC760">
        <v>2714</v>
      </c>
      <c r="BD760" t="s">
        <v>74</v>
      </c>
      <c r="BE760" t="s">
        <v>10586</v>
      </c>
      <c r="BF760" t="str">
        <f>HYPERLINK("http://dx.doi.org/10.1175/1520-0485-32.9.2707","http://dx.doi.org/10.1175/1520-0485-32.9.2707")</f>
        <v>http://dx.doi.org/10.1175/1520-0485-32.9.2707</v>
      </c>
      <c r="BG760" t="s">
        <v>74</v>
      </c>
      <c r="BH760" t="s">
        <v>74</v>
      </c>
      <c r="BI760">
        <v>8</v>
      </c>
      <c r="BJ760" t="s">
        <v>1394</v>
      </c>
      <c r="BK760" t="s">
        <v>569</v>
      </c>
      <c r="BL760" t="s">
        <v>1394</v>
      </c>
      <c r="BM760" t="s">
        <v>10575</v>
      </c>
      <c r="BN760" t="s">
        <v>74</v>
      </c>
      <c r="BO760" t="s">
        <v>74</v>
      </c>
      <c r="BP760" t="s">
        <v>74</v>
      </c>
      <c r="BQ760" t="s">
        <v>74</v>
      </c>
      <c r="BR760" t="s">
        <v>98</v>
      </c>
      <c r="BS760" t="s">
        <v>10587</v>
      </c>
      <c r="BT760" t="str">
        <f>HYPERLINK("https%3A%2F%2Fwww.webofscience.com%2Fwos%2Fwoscc%2Ffull-record%2FWOS:000177694700018","View Full Record in Web of Science")</f>
        <v>View Full Record in Web of Science</v>
      </c>
    </row>
    <row r="761" spans="1:72" x14ac:dyDescent="0.15">
      <c r="A761" t="s">
        <v>552</v>
      </c>
      <c r="B761" t="s">
        <v>10588</v>
      </c>
      <c r="C761" t="s">
        <v>74</v>
      </c>
      <c r="D761" t="s">
        <v>74</v>
      </c>
      <c r="E761" t="s">
        <v>74</v>
      </c>
      <c r="F761" t="s">
        <v>10588</v>
      </c>
      <c r="G761" t="s">
        <v>74</v>
      </c>
      <c r="H761" t="s">
        <v>74</v>
      </c>
      <c r="I761" t="s">
        <v>10589</v>
      </c>
      <c r="J761" t="s">
        <v>10590</v>
      </c>
      <c r="K761" t="s">
        <v>74</v>
      </c>
      <c r="L761" t="s">
        <v>74</v>
      </c>
      <c r="M761" t="s">
        <v>78</v>
      </c>
      <c r="N761" t="s">
        <v>576</v>
      </c>
      <c r="O761" t="s">
        <v>10591</v>
      </c>
      <c r="P761" t="s">
        <v>10592</v>
      </c>
      <c r="Q761" t="s">
        <v>10593</v>
      </c>
      <c r="R761" t="s">
        <v>74</v>
      </c>
      <c r="S761" t="s">
        <v>74</v>
      </c>
      <c r="T761" t="s">
        <v>74</v>
      </c>
      <c r="U761" t="s">
        <v>10594</v>
      </c>
      <c r="V761" t="s">
        <v>10595</v>
      </c>
      <c r="W761" t="s">
        <v>10596</v>
      </c>
      <c r="X761" t="s">
        <v>10597</v>
      </c>
      <c r="Y761" t="s">
        <v>10598</v>
      </c>
      <c r="Z761" t="s">
        <v>74</v>
      </c>
      <c r="AA761" t="s">
        <v>10599</v>
      </c>
      <c r="AB761" t="s">
        <v>74</v>
      </c>
      <c r="AC761" t="s">
        <v>74</v>
      </c>
      <c r="AD761" t="s">
        <v>74</v>
      </c>
      <c r="AE761" t="s">
        <v>74</v>
      </c>
      <c r="AF761" t="s">
        <v>74</v>
      </c>
      <c r="AG761">
        <v>30</v>
      </c>
      <c r="AH761">
        <v>158</v>
      </c>
      <c r="AI761">
        <v>180</v>
      </c>
      <c r="AJ761">
        <v>0</v>
      </c>
      <c r="AK761">
        <v>18</v>
      </c>
      <c r="AL761" t="s">
        <v>10600</v>
      </c>
      <c r="AM761" t="s">
        <v>2209</v>
      </c>
      <c r="AN761" t="s">
        <v>10601</v>
      </c>
      <c r="AO761" t="s">
        <v>10602</v>
      </c>
      <c r="AP761" t="s">
        <v>74</v>
      </c>
      <c r="AQ761" t="s">
        <v>74</v>
      </c>
      <c r="AR761" t="s">
        <v>10603</v>
      </c>
      <c r="AS761" t="s">
        <v>10604</v>
      </c>
      <c r="AT761" t="s">
        <v>9785</v>
      </c>
      <c r="AU761">
        <v>2002</v>
      </c>
      <c r="AV761">
        <v>80</v>
      </c>
      <c r="AW761" t="s">
        <v>10605</v>
      </c>
      <c r="AX761" t="s">
        <v>74</v>
      </c>
      <c r="AY761" t="s">
        <v>74</v>
      </c>
      <c r="AZ761" t="s">
        <v>74</v>
      </c>
      <c r="BA761" t="s">
        <v>74</v>
      </c>
      <c r="BB761">
        <v>849</v>
      </c>
      <c r="BC761">
        <v>862</v>
      </c>
      <c r="BD761" t="s">
        <v>74</v>
      </c>
      <c r="BE761" t="s">
        <v>10606</v>
      </c>
      <c r="BF761" t="str">
        <f>HYPERLINK("http://dx.doi.org/10.2151/jmsj.80.849","http://dx.doi.org/10.2151/jmsj.80.849")</f>
        <v>http://dx.doi.org/10.2151/jmsj.80.849</v>
      </c>
      <c r="BG761" t="s">
        <v>74</v>
      </c>
      <c r="BH761" t="s">
        <v>74</v>
      </c>
      <c r="BI761">
        <v>14</v>
      </c>
      <c r="BJ761" t="s">
        <v>1237</v>
      </c>
      <c r="BK761" t="s">
        <v>589</v>
      </c>
      <c r="BL761" t="s">
        <v>1237</v>
      </c>
      <c r="BM761" t="s">
        <v>10607</v>
      </c>
      <c r="BN761" t="s">
        <v>74</v>
      </c>
      <c r="BO761" t="s">
        <v>572</v>
      </c>
      <c r="BP761" t="s">
        <v>74</v>
      </c>
      <c r="BQ761" t="s">
        <v>74</v>
      </c>
      <c r="BR761" t="s">
        <v>98</v>
      </c>
      <c r="BS761" t="s">
        <v>10608</v>
      </c>
      <c r="BT761" t="str">
        <f>HYPERLINK("https%3A%2F%2Fwww.webofscience.com%2Fwos%2Fwoscc%2Ffull-record%2FWOS:000179235300007","View Full Record in Web of Science")</f>
        <v>View Full Record in Web of Science</v>
      </c>
    </row>
    <row r="762" spans="1:72" x14ac:dyDescent="0.15">
      <c r="A762" t="s">
        <v>552</v>
      </c>
      <c r="B762" t="s">
        <v>10609</v>
      </c>
      <c r="C762" t="s">
        <v>74</v>
      </c>
      <c r="D762" t="s">
        <v>74</v>
      </c>
      <c r="E762" t="s">
        <v>74</v>
      </c>
      <c r="F762" t="s">
        <v>10609</v>
      </c>
      <c r="G762" t="s">
        <v>74</v>
      </c>
      <c r="H762" t="s">
        <v>74</v>
      </c>
      <c r="I762" t="s">
        <v>10610</v>
      </c>
      <c r="J762" t="s">
        <v>10590</v>
      </c>
      <c r="K762" t="s">
        <v>74</v>
      </c>
      <c r="L762" t="s">
        <v>74</v>
      </c>
      <c r="M762" t="s">
        <v>78</v>
      </c>
      <c r="N762" t="s">
        <v>576</v>
      </c>
      <c r="O762" t="s">
        <v>10591</v>
      </c>
      <c r="P762" t="s">
        <v>10592</v>
      </c>
      <c r="Q762" t="s">
        <v>10593</v>
      </c>
      <c r="R762" t="s">
        <v>74</v>
      </c>
      <c r="S762" t="s">
        <v>74</v>
      </c>
      <c r="T762" t="s">
        <v>74</v>
      </c>
      <c r="U762" t="s">
        <v>10611</v>
      </c>
      <c r="V762" t="s">
        <v>10612</v>
      </c>
      <c r="W762" t="s">
        <v>10613</v>
      </c>
      <c r="X762" t="s">
        <v>10614</v>
      </c>
      <c r="Y762" t="s">
        <v>10615</v>
      </c>
      <c r="Z762" t="s">
        <v>74</v>
      </c>
      <c r="AA762" t="s">
        <v>10616</v>
      </c>
      <c r="AB762" t="s">
        <v>10617</v>
      </c>
      <c r="AC762" t="s">
        <v>74</v>
      </c>
      <c r="AD762" t="s">
        <v>74</v>
      </c>
      <c r="AE762" t="s">
        <v>74</v>
      </c>
      <c r="AF762" t="s">
        <v>74</v>
      </c>
      <c r="AG762">
        <v>23</v>
      </c>
      <c r="AH762">
        <v>3</v>
      </c>
      <c r="AI762">
        <v>3</v>
      </c>
      <c r="AJ762">
        <v>0</v>
      </c>
      <c r="AK762">
        <v>1</v>
      </c>
      <c r="AL762" t="s">
        <v>10600</v>
      </c>
      <c r="AM762" t="s">
        <v>2209</v>
      </c>
      <c r="AN762" t="s">
        <v>10601</v>
      </c>
      <c r="AO762" t="s">
        <v>10602</v>
      </c>
      <c r="AP762" t="s">
        <v>74</v>
      </c>
      <c r="AQ762" t="s">
        <v>74</v>
      </c>
      <c r="AR762" t="s">
        <v>10603</v>
      </c>
      <c r="AS762" t="s">
        <v>10604</v>
      </c>
      <c r="AT762" t="s">
        <v>9785</v>
      </c>
      <c r="AU762">
        <v>2002</v>
      </c>
      <c r="AV762">
        <v>80</v>
      </c>
      <c r="AW762" t="s">
        <v>10605</v>
      </c>
      <c r="AX762" t="s">
        <v>74</v>
      </c>
      <c r="AY762" t="s">
        <v>74</v>
      </c>
      <c r="AZ762" t="s">
        <v>74</v>
      </c>
      <c r="BA762" t="s">
        <v>74</v>
      </c>
      <c r="BB762">
        <v>877</v>
      </c>
      <c r="BC762">
        <v>895</v>
      </c>
      <c r="BD762" t="s">
        <v>74</v>
      </c>
      <c r="BE762" t="s">
        <v>10618</v>
      </c>
      <c r="BF762" t="str">
        <f>HYPERLINK("http://dx.doi.org/10.2151/jmsj.80.877","http://dx.doi.org/10.2151/jmsj.80.877")</f>
        <v>http://dx.doi.org/10.2151/jmsj.80.877</v>
      </c>
      <c r="BG762" t="s">
        <v>74</v>
      </c>
      <c r="BH762" t="s">
        <v>74</v>
      </c>
      <c r="BI762">
        <v>19</v>
      </c>
      <c r="BJ762" t="s">
        <v>1237</v>
      </c>
      <c r="BK762" t="s">
        <v>589</v>
      </c>
      <c r="BL762" t="s">
        <v>1237</v>
      </c>
      <c r="BM762" t="s">
        <v>10607</v>
      </c>
      <c r="BN762" t="s">
        <v>74</v>
      </c>
      <c r="BO762" t="s">
        <v>572</v>
      </c>
      <c r="BP762" t="s">
        <v>74</v>
      </c>
      <c r="BQ762" t="s">
        <v>74</v>
      </c>
      <c r="BR762" t="s">
        <v>98</v>
      </c>
      <c r="BS762" t="s">
        <v>10619</v>
      </c>
      <c r="BT762" t="str">
        <f>HYPERLINK("https%3A%2F%2Fwww.webofscience.com%2Fwos%2Fwoscc%2Ffull-record%2FWOS:000179235300009","View Full Record in Web of Science")</f>
        <v>View Full Record in Web of Science</v>
      </c>
    </row>
    <row r="763" spans="1:72" x14ac:dyDescent="0.15">
      <c r="A763" t="s">
        <v>552</v>
      </c>
      <c r="B763" t="s">
        <v>10620</v>
      </c>
      <c r="C763" t="s">
        <v>74</v>
      </c>
      <c r="D763" t="s">
        <v>74</v>
      </c>
      <c r="E763" t="s">
        <v>74</v>
      </c>
      <c r="F763" t="s">
        <v>10620</v>
      </c>
      <c r="G763" t="s">
        <v>74</v>
      </c>
      <c r="H763" t="s">
        <v>74</v>
      </c>
      <c r="I763" t="s">
        <v>10621</v>
      </c>
      <c r="J763" t="s">
        <v>10590</v>
      </c>
      <c r="K763" t="s">
        <v>74</v>
      </c>
      <c r="L763" t="s">
        <v>74</v>
      </c>
      <c r="M763" t="s">
        <v>78</v>
      </c>
      <c r="N763" t="s">
        <v>576</v>
      </c>
      <c r="O763" t="s">
        <v>10591</v>
      </c>
      <c r="P763" t="s">
        <v>10592</v>
      </c>
      <c r="Q763" t="s">
        <v>10593</v>
      </c>
      <c r="R763" t="s">
        <v>74</v>
      </c>
      <c r="S763" t="s">
        <v>74</v>
      </c>
      <c r="T763" t="s">
        <v>74</v>
      </c>
      <c r="U763" t="s">
        <v>10622</v>
      </c>
      <c r="V763" t="s">
        <v>10623</v>
      </c>
      <c r="W763" t="s">
        <v>10624</v>
      </c>
      <c r="X763" t="s">
        <v>10625</v>
      </c>
      <c r="Y763" t="s">
        <v>10626</v>
      </c>
      <c r="Z763" t="s">
        <v>74</v>
      </c>
      <c r="AA763" t="s">
        <v>10627</v>
      </c>
      <c r="AB763" t="s">
        <v>10628</v>
      </c>
      <c r="AC763" t="s">
        <v>74</v>
      </c>
      <c r="AD763" t="s">
        <v>74</v>
      </c>
      <c r="AE763" t="s">
        <v>74</v>
      </c>
      <c r="AF763" t="s">
        <v>74</v>
      </c>
      <c r="AG763">
        <v>40</v>
      </c>
      <c r="AH763">
        <v>7</v>
      </c>
      <c r="AI763">
        <v>7</v>
      </c>
      <c r="AJ763">
        <v>0</v>
      </c>
      <c r="AK763">
        <v>2</v>
      </c>
      <c r="AL763" t="s">
        <v>10600</v>
      </c>
      <c r="AM763" t="s">
        <v>2209</v>
      </c>
      <c r="AN763" t="s">
        <v>10601</v>
      </c>
      <c r="AO763" t="s">
        <v>10602</v>
      </c>
      <c r="AP763" t="s">
        <v>74</v>
      </c>
      <c r="AQ763" t="s">
        <v>74</v>
      </c>
      <c r="AR763" t="s">
        <v>10603</v>
      </c>
      <c r="AS763" t="s">
        <v>10604</v>
      </c>
      <c r="AT763" t="s">
        <v>9785</v>
      </c>
      <c r="AU763">
        <v>2002</v>
      </c>
      <c r="AV763">
        <v>80</v>
      </c>
      <c r="AW763" t="s">
        <v>10605</v>
      </c>
      <c r="AX763" t="s">
        <v>74</v>
      </c>
      <c r="AY763" t="s">
        <v>74</v>
      </c>
      <c r="AZ763" t="s">
        <v>74</v>
      </c>
      <c r="BA763" t="s">
        <v>74</v>
      </c>
      <c r="BB763">
        <v>1029</v>
      </c>
      <c r="BC763">
        <v>1050</v>
      </c>
      <c r="BD763" t="s">
        <v>74</v>
      </c>
      <c r="BE763" t="s">
        <v>10629</v>
      </c>
      <c r="BF763" t="str">
        <f>HYPERLINK("http://dx.doi.org/10.2151/jmsj.80.1029","http://dx.doi.org/10.2151/jmsj.80.1029")</f>
        <v>http://dx.doi.org/10.2151/jmsj.80.1029</v>
      </c>
      <c r="BG763" t="s">
        <v>74</v>
      </c>
      <c r="BH763" t="s">
        <v>74</v>
      </c>
      <c r="BI763">
        <v>22</v>
      </c>
      <c r="BJ763" t="s">
        <v>1237</v>
      </c>
      <c r="BK763" t="s">
        <v>589</v>
      </c>
      <c r="BL763" t="s">
        <v>1237</v>
      </c>
      <c r="BM763" t="s">
        <v>10607</v>
      </c>
      <c r="BN763" t="s">
        <v>74</v>
      </c>
      <c r="BO763" t="s">
        <v>3510</v>
      </c>
      <c r="BP763" t="s">
        <v>74</v>
      </c>
      <c r="BQ763" t="s">
        <v>74</v>
      </c>
      <c r="BR763" t="s">
        <v>98</v>
      </c>
      <c r="BS763" t="s">
        <v>10630</v>
      </c>
      <c r="BT763" t="str">
        <f>HYPERLINK("https%3A%2F%2Fwww.webofscience.com%2Fwos%2Fwoscc%2Ffull-record%2FWOS:000179235300019","View Full Record in Web of Science")</f>
        <v>View Full Record in Web of Science</v>
      </c>
    </row>
    <row r="764" spans="1:72" x14ac:dyDescent="0.15">
      <c r="A764" t="s">
        <v>552</v>
      </c>
      <c r="B764" t="s">
        <v>10631</v>
      </c>
      <c r="C764" t="s">
        <v>74</v>
      </c>
      <c r="D764" t="s">
        <v>74</v>
      </c>
      <c r="E764" t="s">
        <v>74</v>
      </c>
      <c r="F764" t="s">
        <v>10631</v>
      </c>
      <c r="G764" t="s">
        <v>74</v>
      </c>
      <c r="H764" t="s">
        <v>74</v>
      </c>
      <c r="I764" t="s">
        <v>10632</v>
      </c>
      <c r="J764" t="s">
        <v>3074</v>
      </c>
      <c r="K764" t="s">
        <v>74</v>
      </c>
      <c r="L764" t="s">
        <v>74</v>
      </c>
      <c r="M764" t="s">
        <v>78</v>
      </c>
      <c r="N764" t="s">
        <v>775</v>
      </c>
      <c r="O764" t="s">
        <v>74</v>
      </c>
      <c r="P764" t="s">
        <v>74</v>
      </c>
      <c r="Q764" t="s">
        <v>74</v>
      </c>
      <c r="R764" t="s">
        <v>74</v>
      </c>
      <c r="S764" t="s">
        <v>74</v>
      </c>
      <c r="T764" t="s">
        <v>10633</v>
      </c>
      <c r="U764" t="s">
        <v>10634</v>
      </c>
      <c r="V764" t="s">
        <v>10635</v>
      </c>
      <c r="W764" t="s">
        <v>10636</v>
      </c>
      <c r="X764" t="s">
        <v>10637</v>
      </c>
      <c r="Y764" t="s">
        <v>10638</v>
      </c>
      <c r="Z764" t="s">
        <v>10639</v>
      </c>
      <c r="AA764" t="s">
        <v>10640</v>
      </c>
      <c r="AB764" t="s">
        <v>10641</v>
      </c>
      <c r="AC764" t="s">
        <v>74</v>
      </c>
      <c r="AD764" t="s">
        <v>74</v>
      </c>
      <c r="AE764" t="s">
        <v>74</v>
      </c>
      <c r="AF764" t="s">
        <v>74</v>
      </c>
      <c r="AG764">
        <v>29</v>
      </c>
      <c r="AH764">
        <v>29</v>
      </c>
      <c r="AI764">
        <v>30</v>
      </c>
      <c r="AJ764">
        <v>0</v>
      </c>
      <c r="AK764">
        <v>12</v>
      </c>
      <c r="AL764" t="s">
        <v>1147</v>
      </c>
      <c r="AM764" t="s">
        <v>1148</v>
      </c>
      <c r="AN764" t="s">
        <v>1149</v>
      </c>
      <c r="AO764" t="s">
        <v>3083</v>
      </c>
      <c r="AP764" t="s">
        <v>9269</v>
      </c>
      <c r="AQ764" t="s">
        <v>74</v>
      </c>
      <c r="AR764" t="s">
        <v>3084</v>
      </c>
      <c r="AS764" t="s">
        <v>3085</v>
      </c>
      <c r="AT764" t="s">
        <v>9785</v>
      </c>
      <c r="AU764">
        <v>2002</v>
      </c>
      <c r="AV764">
        <v>258</v>
      </c>
      <c r="AW764" t="s">
        <v>74</v>
      </c>
      <c r="AX764">
        <v>1</v>
      </c>
      <c r="AY764" t="s">
        <v>74</v>
      </c>
      <c r="AZ764" t="s">
        <v>74</v>
      </c>
      <c r="BA764" t="s">
        <v>74</v>
      </c>
      <c r="BB764">
        <v>49</v>
      </c>
      <c r="BC764">
        <v>56</v>
      </c>
      <c r="BD764" t="s">
        <v>74</v>
      </c>
      <c r="BE764" t="s">
        <v>10642</v>
      </c>
      <c r="BF764" t="str">
        <f>HYPERLINK("http://dx.doi.org/10.1017/S095283690200119X","http://dx.doi.org/10.1017/S095283690200119X")</f>
        <v>http://dx.doi.org/10.1017/S095283690200119X</v>
      </c>
      <c r="BG764" t="s">
        <v>74</v>
      </c>
      <c r="BH764" t="s">
        <v>74</v>
      </c>
      <c r="BI764">
        <v>8</v>
      </c>
      <c r="BJ764" t="s">
        <v>927</v>
      </c>
      <c r="BK764" t="s">
        <v>569</v>
      </c>
      <c r="BL764" t="s">
        <v>927</v>
      </c>
      <c r="BM764" t="s">
        <v>10643</v>
      </c>
      <c r="BN764" t="s">
        <v>74</v>
      </c>
      <c r="BO764" t="s">
        <v>74</v>
      </c>
      <c r="BP764" t="s">
        <v>74</v>
      </c>
      <c r="BQ764" t="s">
        <v>74</v>
      </c>
      <c r="BR764" t="s">
        <v>98</v>
      </c>
      <c r="BS764" t="s">
        <v>10644</v>
      </c>
      <c r="BT764" t="str">
        <f>HYPERLINK("https%3A%2F%2Fwww.webofscience.com%2Fwos%2Fwoscc%2Ffull-record%2FWOS:000178186500006","View Full Record in Web of Science")</f>
        <v>View Full Record in Web of Science</v>
      </c>
    </row>
    <row r="765" spans="1:72" x14ac:dyDescent="0.15">
      <c r="A765" t="s">
        <v>552</v>
      </c>
      <c r="B765" t="s">
        <v>10645</v>
      </c>
      <c r="C765" t="s">
        <v>74</v>
      </c>
      <c r="D765" t="s">
        <v>74</v>
      </c>
      <c r="E765" t="s">
        <v>74</v>
      </c>
      <c r="F765" t="s">
        <v>10645</v>
      </c>
      <c r="G765" t="s">
        <v>74</v>
      </c>
      <c r="H765" t="s">
        <v>74</v>
      </c>
      <c r="I765" t="s">
        <v>10646</v>
      </c>
      <c r="J765" t="s">
        <v>3111</v>
      </c>
      <c r="K765" t="s">
        <v>74</v>
      </c>
      <c r="L765" t="s">
        <v>74</v>
      </c>
      <c r="M765" t="s">
        <v>78</v>
      </c>
      <c r="N765" t="s">
        <v>775</v>
      </c>
      <c r="O765" t="s">
        <v>74</v>
      </c>
      <c r="P765" t="s">
        <v>74</v>
      </c>
      <c r="Q765" t="s">
        <v>74</v>
      </c>
      <c r="R765" t="s">
        <v>74</v>
      </c>
      <c r="S765" t="s">
        <v>74</v>
      </c>
      <c r="T765" t="s">
        <v>74</v>
      </c>
      <c r="U765" t="s">
        <v>10647</v>
      </c>
      <c r="V765" t="s">
        <v>10648</v>
      </c>
      <c r="W765" t="s">
        <v>10649</v>
      </c>
      <c r="X765" t="s">
        <v>10650</v>
      </c>
      <c r="Y765" t="s">
        <v>10651</v>
      </c>
      <c r="Z765" t="s">
        <v>74</v>
      </c>
      <c r="AA765" t="s">
        <v>10652</v>
      </c>
      <c r="AB765" t="s">
        <v>10653</v>
      </c>
      <c r="AC765" t="s">
        <v>74</v>
      </c>
      <c r="AD765" t="s">
        <v>74</v>
      </c>
      <c r="AE765" t="s">
        <v>74</v>
      </c>
      <c r="AF765" t="s">
        <v>74</v>
      </c>
      <c r="AG765">
        <v>46</v>
      </c>
      <c r="AH765">
        <v>104</v>
      </c>
      <c r="AI765">
        <v>122</v>
      </c>
      <c r="AJ765">
        <v>4</v>
      </c>
      <c r="AK765">
        <v>49</v>
      </c>
      <c r="AL765" t="s">
        <v>3119</v>
      </c>
      <c r="AM765" t="s">
        <v>3120</v>
      </c>
      <c r="AN765" t="s">
        <v>3121</v>
      </c>
      <c r="AO765" t="s">
        <v>3122</v>
      </c>
      <c r="AP765" t="s">
        <v>74</v>
      </c>
      <c r="AQ765" t="s">
        <v>74</v>
      </c>
      <c r="AR765" t="s">
        <v>3123</v>
      </c>
      <c r="AS765" t="s">
        <v>3124</v>
      </c>
      <c r="AT765" t="s">
        <v>9785</v>
      </c>
      <c r="AU765">
        <v>2002</v>
      </c>
      <c r="AV765">
        <v>47</v>
      </c>
      <c r="AW765">
        <v>5</v>
      </c>
      <c r="AX765" t="s">
        <v>74</v>
      </c>
      <c r="AY765" t="s">
        <v>74</v>
      </c>
      <c r="AZ765" t="s">
        <v>74</v>
      </c>
      <c r="BA765" t="s">
        <v>74</v>
      </c>
      <c r="BB765">
        <v>1283</v>
      </c>
      <c r="BC765">
        <v>1293</v>
      </c>
      <c r="BD765" t="s">
        <v>74</v>
      </c>
      <c r="BE765" t="s">
        <v>10654</v>
      </c>
      <c r="BF765" t="str">
        <f>HYPERLINK("http://dx.doi.org/10.4319/lo.2002.47.5.1283","http://dx.doi.org/10.4319/lo.2002.47.5.1283")</f>
        <v>http://dx.doi.org/10.4319/lo.2002.47.5.1283</v>
      </c>
      <c r="BG765" t="s">
        <v>74</v>
      </c>
      <c r="BH765" t="s">
        <v>74</v>
      </c>
      <c r="BI765">
        <v>11</v>
      </c>
      <c r="BJ765" t="s">
        <v>3126</v>
      </c>
      <c r="BK765" t="s">
        <v>569</v>
      </c>
      <c r="BL765" t="s">
        <v>3127</v>
      </c>
      <c r="BM765" t="s">
        <v>10655</v>
      </c>
      <c r="BN765" t="s">
        <v>74</v>
      </c>
      <c r="BO765" t="s">
        <v>74</v>
      </c>
      <c r="BP765" t="s">
        <v>74</v>
      </c>
      <c r="BQ765" t="s">
        <v>74</v>
      </c>
      <c r="BR765" t="s">
        <v>98</v>
      </c>
      <c r="BS765" t="s">
        <v>10656</v>
      </c>
      <c r="BT765" t="str">
        <f>HYPERLINK("https%3A%2F%2Fwww.webofscience.com%2Fwos%2Fwoscc%2Ffull-record%2FWOS:000178081800002","View Full Record in Web of Science")</f>
        <v>View Full Record in Web of Science</v>
      </c>
    </row>
    <row r="766" spans="1:72" x14ac:dyDescent="0.15">
      <c r="A766" t="s">
        <v>552</v>
      </c>
      <c r="B766" t="s">
        <v>10657</v>
      </c>
      <c r="C766" t="s">
        <v>74</v>
      </c>
      <c r="D766" t="s">
        <v>74</v>
      </c>
      <c r="E766" t="s">
        <v>74</v>
      </c>
      <c r="F766" t="s">
        <v>10657</v>
      </c>
      <c r="G766" t="s">
        <v>74</v>
      </c>
      <c r="H766" t="s">
        <v>74</v>
      </c>
      <c r="I766" t="s">
        <v>10658</v>
      </c>
      <c r="J766" t="s">
        <v>6392</v>
      </c>
      <c r="K766" t="s">
        <v>74</v>
      </c>
      <c r="L766" t="s">
        <v>74</v>
      </c>
      <c r="M766" t="s">
        <v>78</v>
      </c>
      <c r="N766" t="s">
        <v>775</v>
      </c>
      <c r="O766" t="s">
        <v>74</v>
      </c>
      <c r="P766" t="s">
        <v>74</v>
      </c>
      <c r="Q766" t="s">
        <v>74</v>
      </c>
      <c r="R766" t="s">
        <v>74</v>
      </c>
      <c r="S766" t="s">
        <v>74</v>
      </c>
      <c r="T766" t="s">
        <v>74</v>
      </c>
      <c r="U766" t="s">
        <v>10659</v>
      </c>
      <c r="V766" t="s">
        <v>10660</v>
      </c>
      <c r="W766" t="s">
        <v>10661</v>
      </c>
      <c r="X766" t="s">
        <v>1900</v>
      </c>
      <c r="Y766" t="s">
        <v>10662</v>
      </c>
      <c r="Z766" t="s">
        <v>10663</v>
      </c>
      <c r="AA766" t="s">
        <v>74</v>
      </c>
      <c r="AB766" t="s">
        <v>74</v>
      </c>
      <c r="AC766" t="s">
        <v>74</v>
      </c>
      <c r="AD766" t="s">
        <v>74</v>
      </c>
      <c r="AE766" t="s">
        <v>74</v>
      </c>
      <c r="AF766" t="s">
        <v>74</v>
      </c>
      <c r="AG766">
        <v>47</v>
      </c>
      <c r="AH766">
        <v>56</v>
      </c>
      <c r="AI766">
        <v>58</v>
      </c>
      <c r="AJ766">
        <v>0</v>
      </c>
      <c r="AK766">
        <v>20</v>
      </c>
      <c r="AL766" t="s">
        <v>4121</v>
      </c>
      <c r="AM766" t="s">
        <v>4122</v>
      </c>
      <c r="AN766" t="s">
        <v>4123</v>
      </c>
      <c r="AO766" t="s">
        <v>6397</v>
      </c>
      <c r="AP766" t="s">
        <v>7943</v>
      </c>
      <c r="AQ766" t="s">
        <v>74</v>
      </c>
      <c r="AR766" t="s">
        <v>6398</v>
      </c>
      <c r="AS766" t="s">
        <v>6399</v>
      </c>
      <c r="AT766" t="s">
        <v>9785</v>
      </c>
      <c r="AU766">
        <v>2002</v>
      </c>
      <c r="AV766">
        <v>141</v>
      </c>
      <c r="AW766">
        <v>3</v>
      </c>
      <c r="AX766" t="s">
        <v>74</v>
      </c>
      <c r="AY766" t="s">
        <v>74</v>
      </c>
      <c r="AZ766" t="s">
        <v>74</v>
      </c>
      <c r="BA766" t="s">
        <v>74</v>
      </c>
      <c r="BB766">
        <v>581</v>
      </c>
      <c r="BC766">
        <v>589</v>
      </c>
      <c r="BD766" t="s">
        <v>74</v>
      </c>
      <c r="BE766" t="s">
        <v>10664</v>
      </c>
      <c r="BF766" t="str">
        <f>HYPERLINK("http://dx.doi.org/10.1007/s00227-002-0843-4","http://dx.doi.org/10.1007/s00227-002-0843-4")</f>
        <v>http://dx.doi.org/10.1007/s00227-002-0843-4</v>
      </c>
      <c r="BG766" t="s">
        <v>74</v>
      </c>
      <c r="BH766" t="s">
        <v>74</v>
      </c>
      <c r="BI766">
        <v>9</v>
      </c>
      <c r="BJ766" t="s">
        <v>989</v>
      </c>
      <c r="BK766" t="s">
        <v>569</v>
      </c>
      <c r="BL766" t="s">
        <v>989</v>
      </c>
      <c r="BM766" t="s">
        <v>10665</v>
      </c>
      <c r="BN766" t="s">
        <v>74</v>
      </c>
      <c r="BO766" t="s">
        <v>74</v>
      </c>
      <c r="BP766" t="s">
        <v>74</v>
      </c>
      <c r="BQ766" t="s">
        <v>74</v>
      </c>
      <c r="BR766" t="s">
        <v>98</v>
      </c>
      <c r="BS766" t="s">
        <v>10666</v>
      </c>
      <c r="BT766" t="str">
        <f>HYPERLINK("https%3A%2F%2Fwww.webofscience.com%2Fwos%2Fwoscc%2Ffull-record%2FWOS:000178722300017","View Full Record in Web of Science")</f>
        <v>View Full Record in Web of Science</v>
      </c>
    </row>
    <row r="767" spans="1:72" x14ac:dyDescent="0.15">
      <c r="A767" t="s">
        <v>552</v>
      </c>
      <c r="B767" t="s">
        <v>10667</v>
      </c>
      <c r="C767" t="s">
        <v>74</v>
      </c>
      <c r="D767" t="s">
        <v>74</v>
      </c>
      <c r="E767" t="s">
        <v>74</v>
      </c>
      <c r="F767" t="s">
        <v>10667</v>
      </c>
      <c r="G767" t="s">
        <v>74</v>
      </c>
      <c r="H767" t="s">
        <v>74</v>
      </c>
      <c r="I767" t="s">
        <v>10668</v>
      </c>
      <c r="J767" t="s">
        <v>10669</v>
      </c>
      <c r="K767" t="s">
        <v>74</v>
      </c>
      <c r="L767" t="s">
        <v>74</v>
      </c>
      <c r="M767" t="s">
        <v>78</v>
      </c>
      <c r="N767" t="s">
        <v>576</v>
      </c>
      <c r="O767" t="s">
        <v>10670</v>
      </c>
      <c r="P767" t="s">
        <v>10671</v>
      </c>
      <c r="Q767" t="s">
        <v>10672</v>
      </c>
      <c r="R767" t="s">
        <v>74</v>
      </c>
      <c r="S767" t="s">
        <v>74</v>
      </c>
      <c r="T767" t="s">
        <v>10673</v>
      </c>
      <c r="U767" t="s">
        <v>10674</v>
      </c>
      <c r="V767" t="s">
        <v>10675</v>
      </c>
      <c r="W767" t="s">
        <v>10676</v>
      </c>
      <c r="X767" t="s">
        <v>10677</v>
      </c>
      <c r="Y767" t="s">
        <v>10678</v>
      </c>
      <c r="Z767" t="s">
        <v>74</v>
      </c>
      <c r="AA767" t="s">
        <v>10679</v>
      </c>
      <c r="AB767" t="s">
        <v>10680</v>
      </c>
      <c r="AC767" t="s">
        <v>74</v>
      </c>
      <c r="AD767" t="s">
        <v>74</v>
      </c>
      <c r="AE767" t="s">
        <v>74</v>
      </c>
      <c r="AF767" t="s">
        <v>74</v>
      </c>
      <c r="AG767">
        <v>10</v>
      </c>
      <c r="AH767">
        <v>58</v>
      </c>
      <c r="AI767">
        <v>60</v>
      </c>
      <c r="AJ767">
        <v>1</v>
      </c>
      <c r="AK767">
        <v>29</v>
      </c>
      <c r="AL767" t="s">
        <v>1974</v>
      </c>
      <c r="AM767" t="s">
        <v>807</v>
      </c>
      <c r="AN767" t="s">
        <v>1975</v>
      </c>
      <c r="AO767" t="s">
        <v>10681</v>
      </c>
      <c r="AP767" t="s">
        <v>74</v>
      </c>
      <c r="AQ767" t="s">
        <v>74</v>
      </c>
      <c r="AR767" t="s">
        <v>10682</v>
      </c>
      <c r="AS767" t="s">
        <v>10683</v>
      </c>
      <c r="AT767" t="s">
        <v>10684</v>
      </c>
      <c r="AU767">
        <v>2002</v>
      </c>
      <c r="AV767">
        <v>54</v>
      </c>
      <c r="AW767" t="s">
        <v>10685</v>
      </c>
      <c r="AX767" t="s">
        <v>74</v>
      </c>
      <c r="AY767" t="s">
        <v>74</v>
      </c>
      <c r="AZ767" t="s">
        <v>3067</v>
      </c>
      <c r="BA767" t="s">
        <v>74</v>
      </c>
      <c r="BB767">
        <v>341</v>
      </c>
      <c r="BC767">
        <v>344</v>
      </c>
      <c r="BD767" t="s">
        <v>10686</v>
      </c>
      <c r="BE767" t="s">
        <v>10687</v>
      </c>
      <c r="BF767" t="str">
        <f>HYPERLINK("http://dx.doi.org/10.1016/S0141-1136(02)00198-8","http://dx.doi.org/10.1016/S0141-1136(02)00198-8")</f>
        <v>http://dx.doi.org/10.1016/S0141-1136(02)00198-8</v>
      </c>
      <c r="BG767" t="s">
        <v>74</v>
      </c>
      <c r="BH767" t="s">
        <v>74</v>
      </c>
      <c r="BI767">
        <v>4</v>
      </c>
      <c r="BJ767" t="s">
        <v>10688</v>
      </c>
      <c r="BK767" t="s">
        <v>589</v>
      </c>
      <c r="BL767" t="s">
        <v>10689</v>
      </c>
      <c r="BM767" t="s">
        <v>10690</v>
      </c>
      <c r="BN767">
        <v>12408585</v>
      </c>
      <c r="BO767" t="s">
        <v>74</v>
      </c>
      <c r="BP767" t="s">
        <v>74</v>
      </c>
      <c r="BQ767" t="s">
        <v>74</v>
      </c>
      <c r="BR767" t="s">
        <v>98</v>
      </c>
      <c r="BS767" t="s">
        <v>10691</v>
      </c>
      <c r="BT767" t="str">
        <f>HYPERLINK("https%3A%2F%2Fwww.webofscience.com%2Fwos%2Fwoscc%2Ffull-record%2FWOS:000178360100025","View Full Record in Web of Science")</f>
        <v>View Full Record in Web of Science</v>
      </c>
    </row>
    <row r="768" spans="1:72" x14ac:dyDescent="0.15">
      <c r="A768" t="s">
        <v>552</v>
      </c>
      <c r="B768" t="s">
        <v>10692</v>
      </c>
      <c r="C768" t="s">
        <v>74</v>
      </c>
      <c r="D768" t="s">
        <v>74</v>
      </c>
      <c r="E768" t="s">
        <v>74</v>
      </c>
      <c r="F768" t="s">
        <v>10692</v>
      </c>
      <c r="G768" t="s">
        <v>74</v>
      </c>
      <c r="H768" t="s">
        <v>74</v>
      </c>
      <c r="I768" t="s">
        <v>10693</v>
      </c>
      <c r="J768" t="s">
        <v>7949</v>
      </c>
      <c r="K768" t="s">
        <v>74</v>
      </c>
      <c r="L768" t="s">
        <v>74</v>
      </c>
      <c r="M768" t="s">
        <v>78</v>
      </c>
      <c r="N768" t="s">
        <v>775</v>
      </c>
      <c r="O768" t="s">
        <v>74</v>
      </c>
      <c r="P768" t="s">
        <v>74</v>
      </c>
      <c r="Q768" t="s">
        <v>74</v>
      </c>
      <c r="R768" t="s">
        <v>74</v>
      </c>
      <c r="S768" t="s">
        <v>74</v>
      </c>
      <c r="T768" t="s">
        <v>10694</v>
      </c>
      <c r="U768" t="s">
        <v>10695</v>
      </c>
      <c r="V768" t="s">
        <v>10696</v>
      </c>
      <c r="W768" t="s">
        <v>10697</v>
      </c>
      <c r="X768" t="s">
        <v>10698</v>
      </c>
      <c r="Y768" t="s">
        <v>10699</v>
      </c>
      <c r="Z768" t="s">
        <v>74</v>
      </c>
      <c r="AA768" t="s">
        <v>74</v>
      </c>
      <c r="AB768" t="s">
        <v>74</v>
      </c>
      <c r="AC768" t="s">
        <v>74</v>
      </c>
      <c r="AD768" t="s">
        <v>74</v>
      </c>
      <c r="AE768" t="s">
        <v>74</v>
      </c>
      <c r="AF768" t="s">
        <v>74</v>
      </c>
      <c r="AG768">
        <v>32</v>
      </c>
      <c r="AH768">
        <v>14</v>
      </c>
      <c r="AI768">
        <v>19</v>
      </c>
      <c r="AJ768">
        <v>0</v>
      </c>
      <c r="AK768">
        <v>3</v>
      </c>
      <c r="AL768" t="s">
        <v>1860</v>
      </c>
      <c r="AM768" t="s">
        <v>1861</v>
      </c>
      <c r="AN768" t="s">
        <v>1862</v>
      </c>
      <c r="AO768" t="s">
        <v>7959</v>
      </c>
      <c r="AP768" t="s">
        <v>74</v>
      </c>
      <c r="AQ768" t="s">
        <v>74</v>
      </c>
      <c r="AR768" t="s">
        <v>7960</v>
      </c>
      <c r="AS768" t="s">
        <v>7961</v>
      </c>
      <c r="AT768" t="s">
        <v>9785</v>
      </c>
      <c r="AU768">
        <v>2002</v>
      </c>
      <c r="AV768">
        <v>46</v>
      </c>
      <c r="AW768" t="s">
        <v>1866</v>
      </c>
      <c r="AX768" t="s">
        <v>74</v>
      </c>
      <c r="AY768" t="s">
        <v>74</v>
      </c>
      <c r="AZ768" t="s">
        <v>74</v>
      </c>
      <c r="BA768" t="s">
        <v>74</v>
      </c>
      <c r="BB768">
        <v>127</v>
      </c>
      <c r="BC768">
        <v>137</v>
      </c>
      <c r="BD768" t="s">
        <v>10700</v>
      </c>
      <c r="BE768" t="s">
        <v>10701</v>
      </c>
      <c r="BF768" t="str">
        <f>HYPERLINK("http://dx.doi.org/10.1016/S0377-8398(02)00042-7","http://dx.doi.org/10.1016/S0377-8398(02)00042-7")</f>
        <v>http://dx.doi.org/10.1016/S0377-8398(02)00042-7</v>
      </c>
      <c r="BG768" t="s">
        <v>74</v>
      </c>
      <c r="BH768" t="s">
        <v>74</v>
      </c>
      <c r="BI768">
        <v>11</v>
      </c>
      <c r="BJ768" t="s">
        <v>3069</v>
      </c>
      <c r="BK768" t="s">
        <v>569</v>
      </c>
      <c r="BL768" t="s">
        <v>3069</v>
      </c>
      <c r="BM768" t="s">
        <v>10702</v>
      </c>
      <c r="BN768" t="s">
        <v>74</v>
      </c>
      <c r="BO768" t="s">
        <v>74</v>
      </c>
      <c r="BP768" t="s">
        <v>74</v>
      </c>
      <c r="BQ768" t="s">
        <v>74</v>
      </c>
      <c r="BR768" t="s">
        <v>98</v>
      </c>
      <c r="BS768" t="s">
        <v>10703</v>
      </c>
      <c r="BT768" t="str">
        <f>HYPERLINK("https%3A%2F%2Fwww.webofscience.com%2Fwos%2Fwoscc%2Ffull-record%2FWOS:000178576100008","View Full Record in Web of Science")</f>
        <v>View Full Record in Web of Science</v>
      </c>
    </row>
    <row r="769" spans="1:72" x14ac:dyDescent="0.15">
      <c r="A769" t="s">
        <v>552</v>
      </c>
      <c r="B769" t="s">
        <v>10704</v>
      </c>
      <c r="C769" t="s">
        <v>74</v>
      </c>
      <c r="D769" t="s">
        <v>74</v>
      </c>
      <c r="E769" t="s">
        <v>74</v>
      </c>
      <c r="F769" t="s">
        <v>10704</v>
      </c>
      <c r="G769" t="s">
        <v>74</v>
      </c>
      <c r="H769" t="s">
        <v>74</v>
      </c>
      <c r="I769" t="s">
        <v>10705</v>
      </c>
      <c r="J769" t="s">
        <v>7949</v>
      </c>
      <c r="K769" t="s">
        <v>74</v>
      </c>
      <c r="L769" t="s">
        <v>74</v>
      </c>
      <c r="M769" t="s">
        <v>78</v>
      </c>
      <c r="N769" t="s">
        <v>1114</v>
      </c>
      <c r="O769" t="s">
        <v>74</v>
      </c>
      <c r="P769" t="s">
        <v>74</v>
      </c>
      <c r="Q769" t="s">
        <v>74</v>
      </c>
      <c r="R769" t="s">
        <v>74</v>
      </c>
      <c r="S769" t="s">
        <v>74</v>
      </c>
      <c r="T769" t="s">
        <v>10706</v>
      </c>
      <c r="U769" t="s">
        <v>10707</v>
      </c>
      <c r="V769" t="s">
        <v>10708</v>
      </c>
      <c r="W769" t="s">
        <v>10709</v>
      </c>
      <c r="X769" t="s">
        <v>1970</v>
      </c>
      <c r="Y769" t="s">
        <v>10710</v>
      </c>
      <c r="Z769" t="s">
        <v>10711</v>
      </c>
      <c r="AA769" t="s">
        <v>10712</v>
      </c>
      <c r="AB769" t="s">
        <v>10713</v>
      </c>
      <c r="AC769" t="s">
        <v>74</v>
      </c>
      <c r="AD769" t="s">
        <v>74</v>
      </c>
      <c r="AE769" t="s">
        <v>74</v>
      </c>
      <c r="AF769" t="s">
        <v>74</v>
      </c>
      <c r="AG769">
        <v>122</v>
      </c>
      <c r="AH769">
        <v>98</v>
      </c>
      <c r="AI769">
        <v>105</v>
      </c>
      <c r="AJ769">
        <v>2</v>
      </c>
      <c r="AK769">
        <v>13</v>
      </c>
      <c r="AL769" t="s">
        <v>3155</v>
      </c>
      <c r="AM769" t="s">
        <v>1861</v>
      </c>
      <c r="AN769" t="s">
        <v>3156</v>
      </c>
      <c r="AO769" t="s">
        <v>7959</v>
      </c>
      <c r="AP769" t="s">
        <v>10714</v>
      </c>
      <c r="AQ769" t="s">
        <v>74</v>
      </c>
      <c r="AR769" t="s">
        <v>7960</v>
      </c>
      <c r="AS769" t="s">
        <v>7961</v>
      </c>
      <c r="AT769" t="s">
        <v>9785</v>
      </c>
      <c r="AU769">
        <v>2002</v>
      </c>
      <c r="AV769">
        <v>46</v>
      </c>
      <c r="AW769" t="s">
        <v>1866</v>
      </c>
      <c r="AX769" t="s">
        <v>74</v>
      </c>
      <c r="AY769" t="s">
        <v>74</v>
      </c>
      <c r="AZ769" t="s">
        <v>74</v>
      </c>
      <c r="BA769" t="s">
        <v>74</v>
      </c>
      <c r="BB769">
        <v>139</v>
      </c>
      <c r="BC769">
        <v>176</v>
      </c>
      <c r="BD769" t="s">
        <v>10715</v>
      </c>
      <c r="BE769" t="s">
        <v>10716</v>
      </c>
      <c r="BF769" t="str">
        <f>HYPERLINK("http://dx.doi.org/10.1016/S0377-8398(02)00047-6","http://dx.doi.org/10.1016/S0377-8398(02)00047-6")</f>
        <v>http://dx.doi.org/10.1016/S0377-8398(02)00047-6</v>
      </c>
      <c r="BG769" t="s">
        <v>74</v>
      </c>
      <c r="BH769" t="s">
        <v>74</v>
      </c>
      <c r="BI769">
        <v>38</v>
      </c>
      <c r="BJ769" t="s">
        <v>3069</v>
      </c>
      <c r="BK769" t="s">
        <v>569</v>
      </c>
      <c r="BL769" t="s">
        <v>3069</v>
      </c>
      <c r="BM769" t="s">
        <v>10702</v>
      </c>
      <c r="BN769" t="s">
        <v>74</v>
      </c>
      <c r="BO769" t="s">
        <v>74</v>
      </c>
      <c r="BP769" t="s">
        <v>74</v>
      </c>
      <c r="BQ769" t="s">
        <v>74</v>
      </c>
      <c r="BR769" t="s">
        <v>98</v>
      </c>
      <c r="BS769" t="s">
        <v>10717</v>
      </c>
      <c r="BT769" t="str">
        <f>HYPERLINK("https%3A%2F%2Fwww.webofscience.com%2Fwos%2Fwoscc%2Ffull-record%2FWOS:000178576100009","View Full Record in Web of Science")</f>
        <v>View Full Record in Web of Science</v>
      </c>
    </row>
    <row r="770" spans="1:72" x14ac:dyDescent="0.15">
      <c r="A770" t="s">
        <v>552</v>
      </c>
      <c r="B770" t="s">
        <v>10718</v>
      </c>
      <c r="C770" t="s">
        <v>74</v>
      </c>
      <c r="D770" t="s">
        <v>74</v>
      </c>
      <c r="E770" t="s">
        <v>74</v>
      </c>
      <c r="F770" t="s">
        <v>10718</v>
      </c>
      <c r="G770" t="s">
        <v>74</v>
      </c>
      <c r="H770" t="s">
        <v>74</v>
      </c>
      <c r="I770" t="s">
        <v>10719</v>
      </c>
      <c r="J770" t="s">
        <v>7949</v>
      </c>
      <c r="K770" t="s">
        <v>74</v>
      </c>
      <c r="L770" t="s">
        <v>74</v>
      </c>
      <c r="M770" t="s">
        <v>78</v>
      </c>
      <c r="N770" t="s">
        <v>775</v>
      </c>
      <c r="O770" t="s">
        <v>74</v>
      </c>
      <c r="P770" t="s">
        <v>74</v>
      </c>
      <c r="Q770" t="s">
        <v>74</v>
      </c>
      <c r="R770" t="s">
        <v>74</v>
      </c>
      <c r="S770" t="s">
        <v>74</v>
      </c>
      <c r="T770" t="s">
        <v>10720</v>
      </c>
      <c r="U770" t="s">
        <v>10721</v>
      </c>
      <c r="V770" t="s">
        <v>10722</v>
      </c>
      <c r="W770" t="s">
        <v>10723</v>
      </c>
      <c r="X770" t="s">
        <v>10724</v>
      </c>
      <c r="Y770" t="s">
        <v>10725</v>
      </c>
      <c r="Z770" t="s">
        <v>74</v>
      </c>
      <c r="AA770" t="s">
        <v>74</v>
      </c>
      <c r="AB770" t="s">
        <v>10726</v>
      </c>
      <c r="AC770" t="s">
        <v>74</v>
      </c>
      <c r="AD770" t="s">
        <v>74</v>
      </c>
      <c r="AE770" t="s">
        <v>74</v>
      </c>
      <c r="AF770" t="s">
        <v>74</v>
      </c>
      <c r="AG770">
        <v>67</v>
      </c>
      <c r="AH770">
        <v>46</v>
      </c>
      <c r="AI770">
        <v>47</v>
      </c>
      <c r="AJ770">
        <v>0</v>
      </c>
      <c r="AK770">
        <v>3</v>
      </c>
      <c r="AL770" t="s">
        <v>1860</v>
      </c>
      <c r="AM770" t="s">
        <v>1861</v>
      </c>
      <c r="AN770" t="s">
        <v>1862</v>
      </c>
      <c r="AO770" t="s">
        <v>7959</v>
      </c>
      <c r="AP770" t="s">
        <v>74</v>
      </c>
      <c r="AQ770" t="s">
        <v>74</v>
      </c>
      <c r="AR770" t="s">
        <v>7960</v>
      </c>
      <c r="AS770" t="s">
        <v>7961</v>
      </c>
      <c r="AT770" t="s">
        <v>9785</v>
      </c>
      <c r="AU770">
        <v>2002</v>
      </c>
      <c r="AV770">
        <v>46</v>
      </c>
      <c r="AW770" t="s">
        <v>1866</v>
      </c>
      <c r="AX770" t="s">
        <v>74</v>
      </c>
      <c r="AY770" t="s">
        <v>74</v>
      </c>
      <c r="AZ770" t="s">
        <v>74</v>
      </c>
      <c r="BA770" t="s">
        <v>74</v>
      </c>
      <c r="BB770">
        <v>177</v>
      </c>
      <c r="BC770">
        <v>208</v>
      </c>
      <c r="BD770" t="s">
        <v>10727</v>
      </c>
      <c r="BE770" t="s">
        <v>10728</v>
      </c>
      <c r="BF770" t="str">
        <f>HYPERLINK("http://dx.doi.org/10.1016/S0377-8398(02)00041-5","http://dx.doi.org/10.1016/S0377-8398(02)00041-5")</f>
        <v>http://dx.doi.org/10.1016/S0377-8398(02)00041-5</v>
      </c>
      <c r="BG770" t="s">
        <v>74</v>
      </c>
      <c r="BH770" t="s">
        <v>74</v>
      </c>
      <c r="BI770">
        <v>32</v>
      </c>
      <c r="BJ770" t="s">
        <v>3069</v>
      </c>
      <c r="BK770" t="s">
        <v>569</v>
      </c>
      <c r="BL770" t="s">
        <v>3069</v>
      </c>
      <c r="BM770" t="s">
        <v>10702</v>
      </c>
      <c r="BN770" t="s">
        <v>74</v>
      </c>
      <c r="BO770" t="s">
        <v>74</v>
      </c>
      <c r="BP770" t="s">
        <v>74</v>
      </c>
      <c r="BQ770" t="s">
        <v>74</v>
      </c>
      <c r="BR770" t="s">
        <v>98</v>
      </c>
      <c r="BS770" t="s">
        <v>10729</v>
      </c>
      <c r="BT770" t="str">
        <f>HYPERLINK("https%3A%2F%2Fwww.webofscience.com%2Fwos%2Fwoscc%2Ffull-record%2FWOS:000178576100010","View Full Record in Web of Science")</f>
        <v>View Full Record in Web of Science</v>
      </c>
    </row>
    <row r="771" spans="1:72" x14ac:dyDescent="0.15">
      <c r="A771" t="s">
        <v>552</v>
      </c>
      <c r="B771" t="s">
        <v>10730</v>
      </c>
      <c r="C771" t="s">
        <v>74</v>
      </c>
      <c r="D771" t="s">
        <v>74</v>
      </c>
      <c r="E771" t="s">
        <v>74</v>
      </c>
      <c r="F771" t="s">
        <v>10730</v>
      </c>
      <c r="G771" t="s">
        <v>74</v>
      </c>
      <c r="H771" t="s">
        <v>74</v>
      </c>
      <c r="I771" t="s">
        <v>10731</v>
      </c>
      <c r="J771" t="s">
        <v>10732</v>
      </c>
      <c r="K771" t="s">
        <v>74</v>
      </c>
      <c r="L771" t="s">
        <v>74</v>
      </c>
      <c r="M771" t="s">
        <v>78</v>
      </c>
      <c r="N771" t="s">
        <v>775</v>
      </c>
      <c r="O771" t="s">
        <v>74</v>
      </c>
      <c r="P771" t="s">
        <v>74</v>
      </c>
      <c r="Q771" t="s">
        <v>74</v>
      </c>
      <c r="R771" t="s">
        <v>74</v>
      </c>
      <c r="S771" t="s">
        <v>74</v>
      </c>
      <c r="T771" t="s">
        <v>74</v>
      </c>
      <c r="U771" t="s">
        <v>74</v>
      </c>
      <c r="V771" t="s">
        <v>10733</v>
      </c>
      <c r="W771" t="s">
        <v>10734</v>
      </c>
      <c r="X771" t="s">
        <v>10735</v>
      </c>
      <c r="Y771" t="s">
        <v>10736</v>
      </c>
      <c r="Z771" t="s">
        <v>74</v>
      </c>
      <c r="AA771" t="s">
        <v>74</v>
      </c>
      <c r="AB771" t="s">
        <v>74</v>
      </c>
      <c r="AC771" t="s">
        <v>74</v>
      </c>
      <c r="AD771" t="s">
        <v>74</v>
      </c>
      <c r="AE771" t="s">
        <v>74</v>
      </c>
      <c r="AF771" t="s">
        <v>74</v>
      </c>
      <c r="AG771">
        <v>5</v>
      </c>
      <c r="AH771">
        <v>2</v>
      </c>
      <c r="AI771">
        <v>3</v>
      </c>
      <c r="AJ771">
        <v>0</v>
      </c>
      <c r="AK771">
        <v>1</v>
      </c>
      <c r="AL771" t="s">
        <v>560</v>
      </c>
      <c r="AM771" t="s">
        <v>561</v>
      </c>
      <c r="AN771" t="s">
        <v>3082</v>
      </c>
      <c r="AO771" t="s">
        <v>10737</v>
      </c>
      <c r="AP771" t="s">
        <v>74</v>
      </c>
      <c r="AQ771" t="s">
        <v>74</v>
      </c>
      <c r="AR771" t="s">
        <v>10738</v>
      </c>
      <c r="AS771" t="s">
        <v>10739</v>
      </c>
      <c r="AT771" t="s">
        <v>9785</v>
      </c>
      <c r="AU771">
        <v>2002</v>
      </c>
      <c r="AV771">
        <v>9</v>
      </c>
      <c r="AW771">
        <v>3</v>
      </c>
      <c r="AX771" t="s">
        <v>74</v>
      </c>
      <c r="AY771" t="s">
        <v>74</v>
      </c>
      <c r="AZ771" t="s">
        <v>74</v>
      </c>
      <c r="BA771" t="s">
        <v>74</v>
      </c>
      <c r="BB771">
        <v>335</v>
      </c>
      <c r="BC771">
        <v>343</v>
      </c>
      <c r="BD771" t="s">
        <v>74</v>
      </c>
      <c r="BE771" t="s">
        <v>10740</v>
      </c>
      <c r="BF771" t="str">
        <f>HYPERLINK("http://dx.doi.org/10.1017/S1350482702003079","http://dx.doi.org/10.1017/S1350482702003079")</f>
        <v>http://dx.doi.org/10.1017/S1350482702003079</v>
      </c>
      <c r="BG771" t="s">
        <v>74</v>
      </c>
      <c r="BH771" t="s">
        <v>74</v>
      </c>
      <c r="BI771">
        <v>9</v>
      </c>
      <c r="BJ771" t="s">
        <v>1237</v>
      </c>
      <c r="BK771" t="s">
        <v>569</v>
      </c>
      <c r="BL771" t="s">
        <v>1237</v>
      </c>
      <c r="BM771" t="s">
        <v>10741</v>
      </c>
      <c r="BN771" t="s">
        <v>74</v>
      </c>
      <c r="BO771" t="s">
        <v>74</v>
      </c>
      <c r="BP771" t="s">
        <v>74</v>
      </c>
      <c r="BQ771" t="s">
        <v>74</v>
      </c>
      <c r="BR771" t="s">
        <v>98</v>
      </c>
      <c r="BS771" t="s">
        <v>10742</v>
      </c>
      <c r="BT771" t="str">
        <f>HYPERLINK("https%3A%2F%2Fwww.webofscience.com%2Fwos%2Fwoscc%2Ffull-record%2FWOS:000178417000007","View Full Record in Web of Science")</f>
        <v>View Full Record in Web of Science</v>
      </c>
    </row>
    <row r="772" spans="1:72" x14ac:dyDescent="0.15">
      <c r="A772" t="s">
        <v>552</v>
      </c>
      <c r="B772" t="s">
        <v>10743</v>
      </c>
      <c r="C772" t="s">
        <v>74</v>
      </c>
      <c r="D772" t="s">
        <v>74</v>
      </c>
      <c r="E772" t="s">
        <v>74</v>
      </c>
      <c r="F772" t="s">
        <v>10743</v>
      </c>
      <c r="G772" t="s">
        <v>74</v>
      </c>
      <c r="H772" t="s">
        <v>74</v>
      </c>
      <c r="I772" t="s">
        <v>10744</v>
      </c>
      <c r="J772" t="s">
        <v>10745</v>
      </c>
      <c r="K772" t="s">
        <v>74</v>
      </c>
      <c r="L772" t="s">
        <v>74</v>
      </c>
      <c r="M772" t="s">
        <v>78</v>
      </c>
      <c r="N772" t="s">
        <v>775</v>
      </c>
      <c r="O772" t="s">
        <v>74</v>
      </c>
      <c r="P772" t="s">
        <v>74</v>
      </c>
      <c r="Q772" t="s">
        <v>74</v>
      </c>
      <c r="R772" t="s">
        <v>74</v>
      </c>
      <c r="S772" t="s">
        <v>74</v>
      </c>
      <c r="T772" t="s">
        <v>10746</v>
      </c>
      <c r="U772" t="s">
        <v>10747</v>
      </c>
      <c r="V772" t="s">
        <v>10748</v>
      </c>
      <c r="W772" t="s">
        <v>10749</v>
      </c>
      <c r="X772" t="s">
        <v>10750</v>
      </c>
      <c r="Y772" t="s">
        <v>10751</v>
      </c>
      <c r="Z772" t="s">
        <v>74</v>
      </c>
      <c r="AA772" t="s">
        <v>10752</v>
      </c>
      <c r="AB772" t="s">
        <v>10753</v>
      </c>
      <c r="AC772" t="s">
        <v>74</v>
      </c>
      <c r="AD772" t="s">
        <v>74</v>
      </c>
      <c r="AE772" t="s">
        <v>74</v>
      </c>
      <c r="AF772" t="s">
        <v>74</v>
      </c>
      <c r="AG772">
        <v>11</v>
      </c>
      <c r="AH772">
        <v>55</v>
      </c>
      <c r="AI772">
        <v>65</v>
      </c>
      <c r="AJ772">
        <v>0</v>
      </c>
      <c r="AK772">
        <v>21</v>
      </c>
      <c r="AL772" t="s">
        <v>2581</v>
      </c>
      <c r="AM772" t="s">
        <v>807</v>
      </c>
      <c r="AN772" t="s">
        <v>2582</v>
      </c>
      <c r="AO772" t="s">
        <v>10754</v>
      </c>
      <c r="AP772" t="s">
        <v>74</v>
      </c>
      <c r="AQ772" t="s">
        <v>74</v>
      </c>
      <c r="AR772" t="s">
        <v>10755</v>
      </c>
      <c r="AS772" t="s">
        <v>10756</v>
      </c>
      <c r="AT772" t="s">
        <v>9785</v>
      </c>
      <c r="AU772">
        <v>2002</v>
      </c>
      <c r="AV772">
        <v>2</v>
      </c>
      <c r="AW772">
        <v>3</v>
      </c>
      <c r="AX772" t="s">
        <v>74</v>
      </c>
      <c r="AY772" t="s">
        <v>74</v>
      </c>
      <c r="AZ772" t="s">
        <v>74</v>
      </c>
      <c r="BA772" t="s">
        <v>74</v>
      </c>
      <c r="BB772">
        <v>203</v>
      </c>
      <c r="BC772">
        <v>208</v>
      </c>
      <c r="BD772" t="s">
        <v>74</v>
      </c>
      <c r="BE772" t="s">
        <v>10757</v>
      </c>
      <c r="BF772" t="str">
        <f>HYPERLINK("http://dx.doi.org/10.1046/j.1471-8286.2002.00187.x","http://dx.doi.org/10.1046/j.1471-8286.2002.00187.x")</f>
        <v>http://dx.doi.org/10.1046/j.1471-8286.2002.00187.x</v>
      </c>
      <c r="BG772" t="s">
        <v>74</v>
      </c>
      <c r="BH772" t="s">
        <v>74</v>
      </c>
      <c r="BI772">
        <v>6</v>
      </c>
      <c r="BJ772" t="s">
        <v>6507</v>
      </c>
      <c r="BK772" t="s">
        <v>569</v>
      </c>
      <c r="BL772" t="s">
        <v>6508</v>
      </c>
      <c r="BM772" t="s">
        <v>10758</v>
      </c>
      <c r="BN772" t="s">
        <v>74</v>
      </c>
      <c r="BO772" t="s">
        <v>74</v>
      </c>
      <c r="BP772" t="s">
        <v>74</v>
      </c>
      <c r="BQ772" t="s">
        <v>74</v>
      </c>
      <c r="BR772" t="s">
        <v>98</v>
      </c>
      <c r="BS772" t="s">
        <v>10759</v>
      </c>
      <c r="BT772" t="str">
        <f>HYPERLINK("https%3A%2F%2Fwww.webofscience.com%2Fwos%2Fwoscc%2Ffull-record%2FWOS:000177964300002","View Full Record in Web of Science")</f>
        <v>View Full Record in Web of Science</v>
      </c>
    </row>
    <row r="773" spans="1:72" x14ac:dyDescent="0.15">
      <c r="A773" t="s">
        <v>552</v>
      </c>
      <c r="B773" t="s">
        <v>10760</v>
      </c>
      <c r="C773" t="s">
        <v>74</v>
      </c>
      <c r="D773" t="s">
        <v>74</v>
      </c>
      <c r="E773" t="s">
        <v>74</v>
      </c>
      <c r="F773" t="s">
        <v>10760</v>
      </c>
      <c r="G773" t="s">
        <v>74</v>
      </c>
      <c r="H773" t="s">
        <v>74</v>
      </c>
      <c r="I773" t="s">
        <v>10761</v>
      </c>
      <c r="J773" t="s">
        <v>6530</v>
      </c>
      <c r="K773" t="s">
        <v>74</v>
      </c>
      <c r="L773" t="s">
        <v>74</v>
      </c>
      <c r="M773" t="s">
        <v>78</v>
      </c>
      <c r="N773" t="s">
        <v>775</v>
      </c>
      <c r="O773" t="s">
        <v>74</v>
      </c>
      <c r="P773" t="s">
        <v>74</v>
      </c>
      <c r="Q773" t="s">
        <v>74</v>
      </c>
      <c r="R773" t="s">
        <v>74</v>
      </c>
      <c r="S773" t="s">
        <v>74</v>
      </c>
      <c r="T773" t="s">
        <v>10762</v>
      </c>
      <c r="U773" t="s">
        <v>10763</v>
      </c>
      <c r="V773" t="s">
        <v>10764</v>
      </c>
      <c r="W773" t="s">
        <v>10765</v>
      </c>
      <c r="X773" t="s">
        <v>6893</v>
      </c>
      <c r="Y773" t="s">
        <v>10766</v>
      </c>
      <c r="Z773" t="s">
        <v>10767</v>
      </c>
      <c r="AA773" t="s">
        <v>74</v>
      </c>
      <c r="AB773" t="s">
        <v>74</v>
      </c>
      <c r="AC773" t="s">
        <v>74</v>
      </c>
      <c r="AD773" t="s">
        <v>74</v>
      </c>
      <c r="AE773" t="s">
        <v>74</v>
      </c>
      <c r="AF773" t="s">
        <v>74</v>
      </c>
      <c r="AG773">
        <v>21</v>
      </c>
      <c r="AH773">
        <v>9</v>
      </c>
      <c r="AI773">
        <v>9</v>
      </c>
      <c r="AJ773">
        <v>2</v>
      </c>
      <c r="AK773">
        <v>10</v>
      </c>
      <c r="AL773" t="s">
        <v>2060</v>
      </c>
      <c r="AM773" t="s">
        <v>2061</v>
      </c>
      <c r="AN773" t="s">
        <v>2167</v>
      </c>
      <c r="AO773" t="s">
        <v>6539</v>
      </c>
      <c r="AP773" t="s">
        <v>74</v>
      </c>
      <c r="AQ773" t="s">
        <v>74</v>
      </c>
      <c r="AR773" t="s">
        <v>6541</v>
      </c>
      <c r="AS773" t="s">
        <v>6542</v>
      </c>
      <c r="AT773" t="s">
        <v>9785</v>
      </c>
      <c r="AU773">
        <v>2002</v>
      </c>
      <c r="AV773">
        <v>36</v>
      </c>
      <c r="AW773">
        <v>3</v>
      </c>
      <c r="AX773" t="s">
        <v>74</v>
      </c>
      <c r="AY773" t="s">
        <v>74</v>
      </c>
      <c r="AZ773" t="s">
        <v>74</v>
      </c>
      <c r="BA773" t="s">
        <v>74</v>
      </c>
      <c r="BB773">
        <v>645</v>
      </c>
      <c r="BC773">
        <v>654</v>
      </c>
      <c r="BD773" t="s">
        <v>74</v>
      </c>
      <c r="BE773" t="s">
        <v>10768</v>
      </c>
      <c r="BF773" t="str">
        <f>HYPERLINK("http://dx.doi.org/10.1080/00288330.2002.9517120","http://dx.doi.org/10.1080/00288330.2002.9517120")</f>
        <v>http://dx.doi.org/10.1080/00288330.2002.9517120</v>
      </c>
      <c r="BG773" t="s">
        <v>74</v>
      </c>
      <c r="BH773" t="s">
        <v>74</v>
      </c>
      <c r="BI773">
        <v>10</v>
      </c>
      <c r="BJ773" t="s">
        <v>6179</v>
      </c>
      <c r="BK773" t="s">
        <v>569</v>
      </c>
      <c r="BL773" t="s">
        <v>6179</v>
      </c>
      <c r="BM773" t="s">
        <v>10769</v>
      </c>
      <c r="BN773" t="s">
        <v>74</v>
      </c>
      <c r="BO773" t="s">
        <v>572</v>
      </c>
      <c r="BP773" t="s">
        <v>74</v>
      </c>
      <c r="BQ773" t="s">
        <v>74</v>
      </c>
      <c r="BR773" t="s">
        <v>98</v>
      </c>
      <c r="BS773" t="s">
        <v>10770</v>
      </c>
      <c r="BT773" t="str">
        <f>HYPERLINK("https%3A%2F%2Fwww.webofscience.com%2Fwos%2Fwoscc%2Ffull-record%2FWOS:000179133600020","View Full Record in Web of Science")</f>
        <v>View Full Record in Web of Science</v>
      </c>
    </row>
    <row r="774" spans="1:72" x14ac:dyDescent="0.15">
      <c r="A774" t="s">
        <v>552</v>
      </c>
      <c r="B774" t="s">
        <v>10771</v>
      </c>
      <c r="C774" t="s">
        <v>74</v>
      </c>
      <c r="D774" t="s">
        <v>74</v>
      </c>
      <c r="E774" t="s">
        <v>74</v>
      </c>
      <c r="F774" t="s">
        <v>10771</v>
      </c>
      <c r="G774" t="s">
        <v>74</v>
      </c>
      <c r="H774" t="s">
        <v>74</v>
      </c>
      <c r="I774" t="s">
        <v>10772</v>
      </c>
      <c r="J774" t="s">
        <v>10773</v>
      </c>
      <c r="K774" t="s">
        <v>74</v>
      </c>
      <c r="L774" t="s">
        <v>74</v>
      </c>
      <c r="M774" t="s">
        <v>10774</v>
      </c>
      <c r="N774" t="s">
        <v>775</v>
      </c>
      <c r="O774" t="s">
        <v>74</v>
      </c>
      <c r="P774" t="s">
        <v>74</v>
      </c>
      <c r="Q774" t="s">
        <v>74</v>
      </c>
      <c r="R774" t="s">
        <v>74</v>
      </c>
      <c r="S774" t="s">
        <v>74</v>
      </c>
      <c r="T774" t="s">
        <v>74</v>
      </c>
      <c r="U774" t="s">
        <v>74</v>
      </c>
      <c r="V774" t="s">
        <v>74</v>
      </c>
      <c r="W774" t="s">
        <v>10775</v>
      </c>
      <c r="X774" t="s">
        <v>10776</v>
      </c>
      <c r="Y774" t="s">
        <v>10777</v>
      </c>
      <c r="Z774" t="s">
        <v>10778</v>
      </c>
      <c r="AA774" t="s">
        <v>74</v>
      </c>
      <c r="AB774" t="s">
        <v>74</v>
      </c>
      <c r="AC774" t="s">
        <v>74</v>
      </c>
      <c r="AD774" t="s">
        <v>74</v>
      </c>
      <c r="AE774" t="s">
        <v>74</v>
      </c>
      <c r="AF774" t="s">
        <v>74</v>
      </c>
      <c r="AG774">
        <v>5</v>
      </c>
      <c r="AH774">
        <v>2</v>
      </c>
      <c r="AI774">
        <v>2</v>
      </c>
      <c r="AJ774">
        <v>1</v>
      </c>
      <c r="AK774">
        <v>4</v>
      </c>
      <c r="AL774" t="s">
        <v>10779</v>
      </c>
      <c r="AM774" t="s">
        <v>2209</v>
      </c>
      <c r="AN774" t="s">
        <v>10780</v>
      </c>
      <c r="AO774" t="s">
        <v>10781</v>
      </c>
      <c r="AP774" t="s">
        <v>10782</v>
      </c>
      <c r="AQ774" t="s">
        <v>74</v>
      </c>
      <c r="AR774" t="s">
        <v>10783</v>
      </c>
      <c r="AS774" t="s">
        <v>10784</v>
      </c>
      <c r="AT774" t="s">
        <v>9785</v>
      </c>
      <c r="AU774">
        <v>2002</v>
      </c>
      <c r="AV774">
        <v>68</v>
      </c>
      <c r="AW774">
        <v>5</v>
      </c>
      <c r="AX774" t="s">
        <v>74</v>
      </c>
      <c r="AY774" t="s">
        <v>74</v>
      </c>
      <c r="AZ774" t="s">
        <v>74</v>
      </c>
      <c r="BA774" t="s">
        <v>74</v>
      </c>
      <c r="BB774">
        <v>714</v>
      </c>
      <c r="BC774">
        <v>718</v>
      </c>
      <c r="BD774" t="s">
        <v>74</v>
      </c>
      <c r="BE774" t="s">
        <v>74</v>
      </c>
      <c r="BF774" t="s">
        <v>74</v>
      </c>
      <c r="BG774" t="s">
        <v>74</v>
      </c>
      <c r="BH774" t="s">
        <v>74</v>
      </c>
      <c r="BI774">
        <v>5</v>
      </c>
      <c r="BJ774" t="s">
        <v>1035</v>
      </c>
      <c r="BK774" t="s">
        <v>569</v>
      </c>
      <c r="BL774" t="s">
        <v>1035</v>
      </c>
      <c r="BM774" t="s">
        <v>10785</v>
      </c>
      <c r="BN774" t="s">
        <v>74</v>
      </c>
      <c r="BO774" t="s">
        <v>572</v>
      </c>
      <c r="BP774" t="s">
        <v>74</v>
      </c>
      <c r="BQ774" t="s">
        <v>74</v>
      </c>
      <c r="BR774" t="s">
        <v>98</v>
      </c>
      <c r="BS774" t="s">
        <v>10786</v>
      </c>
      <c r="BT774" t="str">
        <f>HYPERLINK("https%3A%2F%2Fwww.webofscience.com%2Fwos%2Fwoscc%2Ffull-record%2FWOS:000179275100019","View Full Record in Web of Science")</f>
        <v>View Full Record in Web of Science</v>
      </c>
    </row>
    <row r="775" spans="1:72" x14ac:dyDescent="0.15">
      <c r="A775" t="s">
        <v>552</v>
      </c>
      <c r="B775" t="s">
        <v>10787</v>
      </c>
      <c r="C775" t="s">
        <v>74</v>
      </c>
      <c r="D775" t="s">
        <v>74</v>
      </c>
      <c r="E775" t="s">
        <v>74</v>
      </c>
      <c r="F775" t="s">
        <v>10787</v>
      </c>
      <c r="G775" t="s">
        <v>74</v>
      </c>
      <c r="H775" t="s">
        <v>74</v>
      </c>
      <c r="I775" t="s">
        <v>10788</v>
      </c>
      <c r="J775" t="s">
        <v>10789</v>
      </c>
      <c r="K775" t="s">
        <v>74</v>
      </c>
      <c r="L775" t="s">
        <v>74</v>
      </c>
      <c r="M775" t="s">
        <v>78</v>
      </c>
      <c r="N775" t="s">
        <v>576</v>
      </c>
      <c r="O775" t="s">
        <v>10790</v>
      </c>
      <c r="P775" t="s">
        <v>10791</v>
      </c>
      <c r="Q775" t="s">
        <v>10792</v>
      </c>
      <c r="R775" t="s">
        <v>74</v>
      </c>
      <c r="S775" t="s">
        <v>74</v>
      </c>
      <c r="T775" t="s">
        <v>74</v>
      </c>
      <c r="U775" t="s">
        <v>10793</v>
      </c>
      <c r="V775" t="s">
        <v>10794</v>
      </c>
      <c r="W775" t="s">
        <v>3992</v>
      </c>
      <c r="X775" t="s">
        <v>239</v>
      </c>
      <c r="Y775" t="s">
        <v>3993</v>
      </c>
      <c r="Z775" t="s">
        <v>10795</v>
      </c>
      <c r="AA775" t="s">
        <v>10796</v>
      </c>
      <c r="AB775" t="s">
        <v>10797</v>
      </c>
      <c r="AC775" t="s">
        <v>74</v>
      </c>
      <c r="AD775" t="s">
        <v>74</v>
      </c>
      <c r="AE775" t="s">
        <v>74</v>
      </c>
      <c r="AF775" t="s">
        <v>74</v>
      </c>
      <c r="AG775">
        <v>42</v>
      </c>
      <c r="AH775">
        <v>23</v>
      </c>
      <c r="AI775">
        <v>23</v>
      </c>
      <c r="AJ775">
        <v>0</v>
      </c>
      <c r="AK775">
        <v>0</v>
      </c>
      <c r="AL775" t="s">
        <v>8566</v>
      </c>
      <c r="AM775" t="s">
        <v>8567</v>
      </c>
      <c r="AN775" t="s">
        <v>8568</v>
      </c>
      <c r="AO775" t="s">
        <v>10798</v>
      </c>
      <c r="AP775" t="s">
        <v>10799</v>
      </c>
      <c r="AQ775" t="s">
        <v>74</v>
      </c>
      <c r="AR775" t="s">
        <v>10800</v>
      </c>
      <c r="AS775" t="s">
        <v>10801</v>
      </c>
      <c r="AT775" t="s">
        <v>10433</v>
      </c>
      <c r="AU775">
        <v>2002</v>
      </c>
      <c r="AV775">
        <v>9</v>
      </c>
      <c r="AW775" t="s">
        <v>10802</v>
      </c>
      <c r="AX775" t="s">
        <v>74</v>
      </c>
      <c r="AY775" t="s">
        <v>74</v>
      </c>
      <c r="AZ775" t="s">
        <v>74</v>
      </c>
      <c r="BA775" t="s">
        <v>74</v>
      </c>
      <c r="BB775">
        <v>389</v>
      </c>
      <c r="BC775">
        <v>397</v>
      </c>
      <c r="BD775" t="s">
        <v>74</v>
      </c>
      <c r="BE775" t="s">
        <v>10803</v>
      </c>
      <c r="BF775" t="str">
        <f>HYPERLINK("http://dx.doi.org/10.5194/npg-9-389-2002","http://dx.doi.org/10.5194/npg-9-389-2002")</f>
        <v>http://dx.doi.org/10.5194/npg-9-389-2002</v>
      </c>
      <c r="BG775" t="s">
        <v>74</v>
      </c>
      <c r="BH775" t="s">
        <v>74</v>
      </c>
      <c r="BI775">
        <v>9</v>
      </c>
      <c r="BJ775" t="s">
        <v>10804</v>
      </c>
      <c r="BK775" t="s">
        <v>605</v>
      </c>
      <c r="BL775" t="s">
        <v>10805</v>
      </c>
      <c r="BM775" t="s">
        <v>10806</v>
      </c>
      <c r="BN775" t="s">
        <v>74</v>
      </c>
      <c r="BO775" t="s">
        <v>10807</v>
      </c>
      <c r="BP775" t="s">
        <v>74</v>
      </c>
      <c r="BQ775" t="s">
        <v>74</v>
      </c>
      <c r="BR775" t="s">
        <v>98</v>
      </c>
      <c r="BS775" t="s">
        <v>10808</v>
      </c>
      <c r="BT775" t="str">
        <f>HYPERLINK("https%3A%2F%2Fwww.webofscience.com%2Fwos%2Fwoscc%2Ffull-record%2FWOS:000179465000002","View Full Record in Web of Science")</f>
        <v>View Full Record in Web of Science</v>
      </c>
    </row>
    <row r="776" spans="1:72" x14ac:dyDescent="0.15">
      <c r="A776" t="s">
        <v>552</v>
      </c>
      <c r="B776" t="s">
        <v>10809</v>
      </c>
      <c r="C776" t="s">
        <v>74</v>
      </c>
      <c r="D776" t="s">
        <v>74</v>
      </c>
      <c r="E776" t="s">
        <v>74</v>
      </c>
      <c r="F776" t="s">
        <v>10809</v>
      </c>
      <c r="G776" t="s">
        <v>74</v>
      </c>
      <c r="H776" t="s">
        <v>74</v>
      </c>
      <c r="I776" t="s">
        <v>10810</v>
      </c>
      <c r="J776" t="s">
        <v>10789</v>
      </c>
      <c r="K776" t="s">
        <v>74</v>
      </c>
      <c r="L776" t="s">
        <v>74</v>
      </c>
      <c r="M776" t="s">
        <v>78</v>
      </c>
      <c r="N776" t="s">
        <v>775</v>
      </c>
      <c r="O776" t="s">
        <v>74</v>
      </c>
      <c r="P776" t="s">
        <v>74</v>
      </c>
      <c r="Q776" t="s">
        <v>74</v>
      </c>
      <c r="R776" t="s">
        <v>74</v>
      </c>
      <c r="S776" t="s">
        <v>74</v>
      </c>
      <c r="T776" t="s">
        <v>74</v>
      </c>
      <c r="U776" t="s">
        <v>10811</v>
      </c>
      <c r="V776" t="s">
        <v>10812</v>
      </c>
      <c r="W776" t="s">
        <v>10813</v>
      </c>
      <c r="X776" t="s">
        <v>6969</v>
      </c>
      <c r="Y776" t="s">
        <v>10814</v>
      </c>
      <c r="Z776" t="s">
        <v>74</v>
      </c>
      <c r="AA776" t="s">
        <v>10815</v>
      </c>
      <c r="AB776" t="s">
        <v>10816</v>
      </c>
      <c r="AC776" t="s">
        <v>74</v>
      </c>
      <c r="AD776" t="s">
        <v>74</v>
      </c>
      <c r="AE776" t="s">
        <v>74</v>
      </c>
      <c r="AF776" t="s">
        <v>74</v>
      </c>
      <c r="AG776">
        <v>23</v>
      </c>
      <c r="AH776">
        <v>34</v>
      </c>
      <c r="AI776">
        <v>35</v>
      </c>
      <c r="AJ776">
        <v>0</v>
      </c>
      <c r="AK776">
        <v>4</v>
      </c>
      <c r="AL776" t="s">
        <v>5813</v>
      </c>
      <c r="AM776" t="s">
        <v>5814</v>
      </c>
      <c r="AN776" t="s">
        <v>5815</v>
      </c>
      <c r="AO776" t="s">
        <v>10798</v>
      </c>
      <c r="AP776" t="s">
        <v>74</v>
      </c>
      <c r="AQ776" t="s">
        <v>74</v>
      </c>
      <c r="AR776" t="s">
        <v>10800</v>
      </c>
      <c r="AS776" t="s">
        <v>10801</v>
      </c>
      <c r="AT776" t="s">
        <v>10433</v>
      </c>
      <c r="AU776">
        <v>2002</v>
      </c>
      <c r="AV776">
        <v>9</v>
      </c>
      <c r="AW776" t="s">
        <v>10802</v>
      </c>
      <c r="AX776" t="s">
        <v>74</v>
      </c>
      <c r="AY776" t="s">
        <v>74</v>
      </c>
      <c r="AZ776" t="s">
        <v>74</v>
      </c>
      <c r="BA776" t="s">
        <v>74</v>
      </c>
      <c r="BB776">
        <v>409</v>
      </c>
      <c r="BC776">
        <v>418</v>
      </c>
      <c r="BD776" t="s">
        <v>74</v>
      </c>
      <c r="BE776" t="s">
        <v>10817</v>
      </c>
      <c r="BF776" t="str">
        <f>HYPERLINK("http://dx.doi.org/10.5194/npg-9-409-2002","http://dx.doi.org/10.5194/npg-9-409-2002")</f>
        <v>http://dx.doi.org/10.5194/npg-9-409-2002</v>
      </c>
      <c r="BG776" t="s">
        <v>74</v>
      </c>
      <c r="BH776" t="s">
        <v>74</v>
      </c>
      <c r="BI776">
        <v>10</v>
      </c>
      <c r="BJ776" t="s">
        <v>10804</v>
      </c>
      <c r="BK776" t="s">
        <v>569</v>
      </c>
      <c r="BL776" t="s">
        <v>10805</v>
      </c>
      <c r="BM776" t="s">
        <v>10806</v>
      </c>
      <c r="BN776" t="s">
        <v>74</v>
      </c>
      <c r="BO776" t="s">
        <v>7119</v>
      </c>
      <c r="BP776" t="s">
        <v>74</v>
      </c>
      <c r="BQ776" t="s">
        <v>74</v>
      </c>
      <c r="BR776" t="s">
        <v>98</v>
      </c>
      <c r="BS776" t="s">
        <v>10818</v>
      </c>
      <c r="BT776" t="str">
        <f>HYPERLINK("https%3A%2F%2Fwww.webofscience.com%2Fwos%2Fwoscc%2Ffull-record%2FWOS:000179465000004","View Full Record in Web of Science")</f>
        <v>View Full Record in Web of Science</v>
      </c>
    </row>
    <row r="777" spans="1:72" x14ac:dyDescent="0.15">
      <c r="A777" t="s">
        <v>552</v>
      </c>
      <c r="B777" t="s">
        <v>10819</v>
      </c>
      <c r="C777" t="s">
        <v>74</v>
      </c>
      <c r="D777" t="s">
        <v>74</v>
      </c>
      <c r="E777" t="s">
        <v>74</v>
      </c>
      <c r="F777" t="s">
        <v>10819</v>
      </c>
      <c r="G777" t="s">
        <v>74</v>
      </c>
      <c r="H777" t="s">
        <v>74</v>
      </c>
      <c r="I777" t="s">
        <v>10820</v>
      </c>
      <c r="J777" t="s">
        <v>4004</v>
      </c>
      <c r="K777" t="s">
        <v>74</v>
      </c>
      <c r="L777" t="s">
        <v>74</v>
      </c>
      <c r="M777" t="s">
        <v>78</v>
      </c>
      <c r="N777" t="s">
        <v>775</v>
      </c>
      <c r="O777" t="s">
        <v>74</v>
      </c>
      <c r="P777" t="s">
        <v>74</v>
      </c>
      <c r="Q777" t="s">
        <v>74</v>
      </c>
      <c r="R777" t="s">
        <v>74</v>
      </c>
      <c r="S777" t="s">
        <v>74</v>
      </c>
      <c r="T777" t="s">
        <v>74</v>
      </c>
      <c r="U777" t="s">
        <v>10821</v>
      </c>
      <c r="V777" t="s">
        <v>10822</v>
      </c>
      <c r="W777" t="s">
        <v>10823</v>
      </c>
      <c r="X777" t="s">
        <v>10824</v>
      </c>
      <c r="Y777" t="s">
        <v>10825</v>
      </c>
      <c r="Z777" t="s">
        <v>74</v>
      </c>
      <c r="AA777" t="s">
        <v>10826</v>
      </c>
      <c r="AB777" t="s">
        <v>10827</v>
      </c>
      <c r="AC777" t="s">
        <v>74</v>
      </c>
      <c r="AD777" t="s">
        <v>74</v>
      </c>
      <c r="AE777" t="s">
        <v>74</v>
      </c>
      <c r="AF777" t="s">
        <v>74</v>
      </c>
      <c r="AG777">
        <v>18</v>
      </c>
      <c r="AH777">
        <v>0</v>
      </c>
      <c r="AI777">
        <v>0</v>
      </c>
      <c r="AJ777">
        <v>0</v>
      </c>
      <c r="AK777">
        <v>1</v>
      </c>
      <c r="AL777" t="s">
        <v>1807</v>
      </c>
      <c r="AM777" t="s">
        <v>1808</v>
      </c>
      <c r="AN777" t="s">
        <v>1809</v>
      </c>
      <c r="AO777" t="s">
        <v>4014</v>
      </c>
      <c r="AP777" t="s">
        <v>74</v>
      </c>
      <c r="AQ777" t="s">
        <v>74</v>
      </c>
      <c r="AR777" t="s">
        <v>4016</v>
      </c>
      <c r="AS777" t="s">
        <v>4017</v>
      </c>
      <c r="AT777" t="s">
        <v>10125</v>
      </c>
      <c r="AU777">
        <v>2002</v>
      </c>
      <c r="AV777">
        <v>42</v>
      </c>
      <c r="AW777">
        <v>5</v>
      </c>
      <c r="AX777" t="s">
        <v>74</v>
      </c>
      <c r="AY777" t="s">
        <v>74</v>
      </c>
      <c r="AZ777" t="s">
        <v>74</v>
      </c>
      <c r="BA777" t="s">
        <v>74</v>
      </c>
      <c r="BB777">
        <v>619</v>
      </c>
      <c r="BC777">
        <v>627</v>
      </c>
      <c r="BD777" t="s">
        <v>74</v>
      </c>
      <c r="BE777" t="s">
        <v>74</v>
      </c>
      <c r="BF777" t="s">
        <v>74</v>
      </c>
      <c r="BG777" t="s">
        <v>74</v>
      </c>
      <c r="BH777" t="s">
        <v>74</v>
      </c>
      <c r="BI777">
        <v>9</v>
      </c>
      <c r="BJ777" t="s">
        <v>1394</v>
      </c>
      <c r="BK777" t="s">
        <v>569</v>
      </c>
      <c r="BL777" t="s">
        <v>1394</v>
      </c>
      <c r="BM777" t="s">
        <v>10828</v>
      </c>
      <c r="BN777" t="s">
        <v>74</v>
      </c>
      <c r="BO777" t="s">
        <v>74</v>
      </c>
      <c r="BP777" t="s">
        <v>74</v>
      </c>
      <c r="BQ777" t="s">
        <v>74</v>
      </c>
      <c r="BR777" t="s">
        <v>98</v>
      </c>
      <c r="BS777" t="s">
        <v>10829</v>
      </c>
      <c r="BT777" t="str">
        <f>HYPERLINK("https%3A%2F%2Fwww.webofscience.com%2Fwos%2Fwoscc%2Ffull-record%2FWOS:000178899200002","View Full Record in Web of Science")</f>
        <v>View Full Record in Web of Science</v>
      </c>
    </row>
    <row r="778" spans="1:72" x14ac:dyDescent="0.15">
      <c r="A778" t="s">
        <v>552</v>
      </c>
      <c r="B778" t="s">
        <v>10830</v>
      </c>
      <c r="C778" t="s">
        <v>74</v>
      </c>
      <c r="D778" t="s">
        <v>74</v>
      </c>
      <c r="E778" t="s">
        <v>74</v>
      </c>
      <c r="F778" t="s">
        <v>10830</v>
      </c>
      <c r="G778" t="s">
        <v>74</v>
      </c>
      <c r="H778" t="s">
        <v>74</v>
      </c>
      <c r="I778" t="s">
        <v>10831</v>
      </c>
      <c r="J778" t="s">
        <v>4004</v>
      </c>
      <c r="K778" t="s">
        <v>74</v>
      </c>
      <c r="L778" t="s">
        <v>74</v>
      </c>
      <c r="M778" t="s">
        <v>78</v>
      </c>
      <c r="N778" t="s">
        <v>775</v>
      </c>
      <c r="O778" t="s">
        <v>74</v>
      </c>
      <c r="P778" t="s">
        <v>74</v>
      </c>
      <c r="Q778" t="s">
        <v>74</v>
      </c>
      <c r="R778" t="s">
        <v>74</v>
      </c>
      <c r="S778" t="s">
        <v>74</v>
      </c>
      <c r="T778" t="s">
        <v>74</v>
      </c>
      <c r="U778" t="s">
        <v>74</v>
      </c>
      <c r="V778" t="s">
        <v>10832</v>
      </c>
      <c r="W778" t="s">
        <v>4007</v>
      </c>
      <c r="X778" t="s">
        <v>4008</v>
      </c>
      <c r="Y778" t="s">
        <v>10833</v>
      </c>
      <c r="Z778" t="s">
        <v>74</v>
      </c>
      <c r="AA778" t="s">
        <v>74</v>
      </c>
      <c r="AB778" t="s">
        <v>74</v>
      </c>
      <c r="AC778" t="s">
        <v>74</v>
      </c>
      <c r="AD778" t="s">
        <v>74</v>
      </c>
      <c r="AE778" t="s">
        <v>74</v>
      </c>
      <c r="AF778" t="s">
        <v>74</v>
      </c>
      <c r="AG778">
        <v>26</v>
      </c>
      <c r="AH778">
        <v>0</v>
      </c>
      <c r="AI778">
        <v>0</v>
      </c>
      <c r="AJ778">
        <v>0</v>
      </c>
      <c r="AK778">
        <v>1</v>
      </c>
      <c r="AL778" t="s">
        <v>1807</v>
      </c>
      <c r="AM778" t="s">
        <v>1808</v>
      </c>
      <c r="AN778" t="s">
        <v>1809</v>
      </c>
      <c r="AO778" t="s">
        <v>4014</v>
      </c>
      <c r="AP778" t="s">
        <v>74</v>
      </c>
      <c r="AQ778" t="s">
        <v>74</v>
      </c>
      <c r="AR778" t="s">
        <v>4016</v>
      </c>
      <c r="AS778" t="s">
        <v>4017</v>
      </c>
      <c r="AT778" t="s">
        <v>10125</v>
      </c>
      <c r="AU778">
        <v>2002</v>
      </c>
      <c r="AV778">
        <v>42</v>
      </c>
      <c r="AW778">
        <v>5</v>
      </c>
      <c r="AX778" t="s">
        <v>74</v>
      </c>
      <c r="AY778" t="s">
        <v>74</v>
      </c>
      <c r="AZ778" t="s">
        <v>74</v>
      </c>
      <c r="BA778" t="s">
        <v>74</v>
      </c>
      <c r="BB778">
        <v>694</v>
      </c>
      <c r="BC778">
        <v>703</v>
      </c>
      <c r="BD778" t="s">
        <v>74</v>
      </c>
      <c r="BE778" t="s">
        <v>74</v>
      </c>
      <c r="BF778" t="s">
        <v>74</v>
      </c>
      <c r="BG778" t="s">
        <v>74</v>
      </c>
      <c r="BH778" t="s">
        <v>74</v>
      </c>
      <c r="BI778">
        <v>10</v>
      </c>
      <c r="BJ778" t="s">
        <v>1394</v>
      </c>
      <c r="BK778" t="s">
        <v>569</v>
      </c>
      <c r="BL778" t="s">
        <v>1394</v>
      </c>
      <c r="BM778" t="s">
        <v>10828</v>
      </c>
      <c r="BN778" t="s">
        <v>74</v>
      </c>
      <c r="BO778" t="s">
        <v>74</v>
      </c>
      <c r="BP778" t="s">
        <v>74</v>
      </c>
      <c r="BQ778" t="s">
        <v>74</v>
      </c>
      <c r="BR778" t="s">
        <v>98</v>
      </c>
      <c r="BS778" t="s">
        <v>10834</v>
      </c>
      <c r="BT778" t="str">
        <f>HYPERLINK("https%3A%2F%2Fwww.webofscience.com%2Fwos%2Fwoscc%2Ffull-record%2FWOS:000178899200011","View Full Record in Web of Science")</f>
        <v>View Full Record in Web of Science</v>
      </c>
    </row>
    <row r="779" spans="1:72" x14ac:dyDescent="0.15">
      <c r="A779" t="s">
        <v>552</v>
      </c>
      <c r="B779" t="s">
        <v>10835</v>
      </c>
      <c r="C779" t="s">
        <v>74</v>
      </c>
      <c r="D779" t="s">
        <v>74</v>
      </c>
      <c r="E779" t="s">
        <v>74</v>
      </c>
      <c r="F779" t="s">
        <v>10835</v>
      </c>
      <c r="G779" t="s">
        <v>74</v>
      </c>
      <c r="H779" t="s">
        <v>74</v>
      </c>
      <c r="I779" t="s">
        <v>10836</v>
      </c>
      <c r="J779" t="s">
        <v>5194</v>
      </c>
      <c r="K779" t="s">
        <v>74</v>
      </c>
      <c r="L779" t="s">
        <v>74</v>
      </c>
      <c r="M779" t="s">
        <v>78</v>
      </c>
      <c r="N779" t="s">
        <v>775</v>
      </c>
      <c r="O779" t="s">
        <v>74</v>
      </c>
      <c r="P779" t="s">
        <v>74</v>
      </c>
      <c r="Q779" t="s">
        <v>74</v>
      </c>
      <c r="R779" t="s">
        <v>74</v>
      </c>
      <c r="S779" t="s">
        <v>74</v>
      </c>
      <c r="T779" t="s">
        <v>10837</v>
      </c>
      <c r="U779" t="s">
        <v>10838</v>
      </c>
      <c r="V779" t="s">
        <v>10839</v>
      </c>
      <c r="W779" t="s">
        <v>10840</v>
      </c>
      <c r="X779" t="s">
        <v>10841</v>
      </c>
      <c r="Y779" t="s">
        <v>10842</v>
      </c>
      <c r="Z779" t="s">
        <v>74</v>
      </c>
      <c r="AA779" t="s">
        <v>74</v>
      </c>
      <c r="AB779" t="s">
        <v>74</v>
      </c>
      <c r="AC779" t="s">
        <v>74</v>
      </c>
      <c r="AD779" t="s">
        <v>74</v>
      </c>
      <c r="AE779" t="s">
        <v>74</v>
      </c>
      <c r="AF779" t="s">
        <v>74</v>
      </c>
      <c r="AG779">
        <v>34</v>
      </c>
      <c r="AH779">
        <v>12</v>
      </c>
      <c r="AI779">
        <v>15</v>
      </c>
      <c r="AJ779">
        <v>0</v>
      </c>
      <c r="AK779">
        <v>5</v>
      </c>
      <c r="AL779" t="s">
        <v>387</v>
      </c>
      <c r="AM779" t="s">
        <v>388</v>
      </c>
      <c r="AN779" t="s">
        <v>389</v>
      </c>
      <c r="AO779" t="s">
        <v>5202</v>
      </c>
      <c r="AP779" t="s">
        <v>74</v>
      </c>
      <c r="AQ779" t="s">
        <v>74</v>
      </c>
      <c r="AR779" t="s">
        <v>5194</v>
      </c>
      <c r="AS779" t="s">
        <v>5204</v>
      </c>
      <c r="AT779" t="s">
        <v>9785</v>
      </c>
      <c r="AU779">
        <v>2002</v>
      </c>
      <c r="AV779">
        <v>17</v>
      </c>
      <c r="AW779">
        <v>3</v>
      </c>
      <c r="AX779" t="s">
        <v>74</v>
      </c>
      <c r="AY779" t="s">
        <v>74</v>
      </c>
      <c r="AZ779" t="s">
        <v>74</v>
      </c>
      <c r="BA779" t="s">
        <v>74</v>
      </c>
      <c r="BB779" t="s">
        <v>74</v>
      </c>
      <c r="BC779" t="s">
        <v>74</v>
      </c>
      <c r="BD779">
        <v>1046</v>
      </c>
      <c r="BE779" t="s">
        <v>10843</v>
      </c>
      <c r="BF779" t="str">
        <f>HYPERLINK("http://dx.doi.org/10.1029/2001PA000745","http://dx.doi.org/10.1029/2001PA000745")</f>
        <v>http://dx.doi.org/10.1029/2001PA000745</v>
      </c>
      <c r="BG779" t="s">
        <v>74</v>
      </c>
      <c r="BH779" t="s">
        <v>74</v>
      </c>
      <c r="BI779">
        <v>9</v>
      </c>
      <c r="BJ779" t="s">
        <v>5206</v>
      </c>
      <c r="BK779" t="s">
        <v>569</v>
      </c>
      <c r="BL779" t="s">
        <v>5207</v>
      </c>
      <c r="BM779" t="s">
        <v>10844</v>
      </c>
      <c r="BN779" t="s">
        <v>74</v>
      </c>
      <c r="BO779" t="s">
        <v>572</v>
      </c>
      <c r="BP779" t="s">
        <v>74</v>
      </c>
      <c r="BQ779" t="s">
        <v>74</v>
      </c>
      <c r="BR779" t="s">
        <v>98</v>
      </c>
      <c r="BS779" t="s">
        <v>10845</v>
      </c>
      <c r="BT779" t="str">
        <f>HYPERLINK("https%3A%2F%2Fwww.webofscience.com%2Fwos%2Fwoscc%2Ffull-record%2FWOS:000180650900003","View Full Record in Web of Science")</f>
        <v>View Full Record in Web of Science</v>
      </c>
    </row>
    <row r="780" spans="1:72" x14ac:dyDescent="0.15">
      <c r="A780" t="s">
        <v>552</v>
      </c>
      <c r="B780" t="s">
        <v>10846</v>
      </c>
      <c r="C780" t="s">
        <v>74</v>
      </c>
      <c r="D780" t="s">
        <v>74</v>
      </c>
      <c r="E780" t="s">
        <v>74</v>
      </c>
      <c r="F780" t="s">
        <v>10846</v>
      </c>
      <c r="G780" t="s">
        <v>74</v>
      </c>
      <c r="H780" t="s">
        <v>74</v>
      </c>
      <c r="I780" t="s">
        <v>10847</v>
      </c>
      <c r="J780" t="s">
        <v>5194</v>
      </c>
      <c r="K780" t="s">
        <v>74</v>
      </c>
      <c r="L780" t="s">
        <v>74</v>
      </c>
      <c r="M780" t="s">
        <v>78</v>
      </c>
      <c r="N780" t="s">
        <v>775</v>
      </c>
      <c r="O780" t="s">
        <v>74</v>
      </c>
      <c r="P780" t="s">
        <v>74</v>
      </c>
      <c r="Q780" t="s">
        <v>74</v>
      </c>
      <c r="R780" t="s">
        <v>74</v>
      </c>
      <c r="S780" t="s">
        <v>74</v>
      </c>
      <c r="T780" t="s">
        <v>10848</v>
      </c>
      <c r="U780" t="s">
        <v>10849</v>
      </c>
      <c r="V780" t="s">
        <v>10850</v>
      </c>
      <c r="W780" t="s">
        <v>382</v>
      </c>
      <c r="X780" t="s">
        <v>383</v>
      </c>
      <c r="Y780" t="s">
        <v>10851</v>
      </c>
      <c r="Z780" t="s">
        <v>10852</v>
      </c>
      <c r="AA780" t="s">
        <v>74</v>
      </c>
      <c r="AB780" t="s">
        <v>10853</v>
      </c>
      <c r="AC780" t="s">
        <v>74</v>
      </c>
      <c r="AD780" t="s">
        <v>74</v>
      </c>
      <c r="AE780" t="s">
        <v>74</v>
      </c>
      <c r="AF780" t="s">
        <v>74</v>
      </c>
      <c r="AG780">
        <v>42</v>
      </c>
      <c r="AH780">
        <v>24</v>
      </c>
      <c r="AI780">
        <v>27</v>
      </c>
      <c r="AJ780">
        <v>0</v>
      </c>
      <c r="AK780">
        <v>3</v>
      </c>
      <c r="AL780" t="s">
        <v>387</v>
      </c>
      <c r="AM780" t="s">
        <v>388</v>
      </c>
      <c r="AN780" t="s">
        <v>389</v>
      </c>
      <c r="AO780" t="s">
        <v>5202</v>
      </c>
      <c r="AP780" t="s">
        <v>5203</v>
      </c>
      <c r="AQ780" t="s">
        <v>74</v>
      </c>
      <c r="AR780" t="s">
        <v>5194</v>
      </c>
      <c r="AS780" t="s">
        <v>5204</v>
      </c>
      <c r="AT780" t="s">
        <v>9785</v>
      </c>
      <c r="AU780">
        <v>2002</v>
      </c>
      <c r="AV780">
        <v>17</v>
      </c>
      <c r="AW780">
        <v>3</v>
      </c>
      <c r="AX780" t="s">
        <v>74</v>
      </c>
      <c r="AY780" t="s">
        <v>74</v>
      </c>
      <c r="AZ780" t="s">
        <v>74</v>
      </c>
      <c r="BA780" t="s">
        <v>74</v>
      </c>
      <c r="BB780" t="s">
        <v>74</v>
      </c>
      <c r="BC780" t="s">
        <v>74</v>
      </c>
      <c r="BD780">
        <v>8004</v>
      </c>
      <c r="BE780" t="s">
        <v>10854</v>
      </c>
      <c r="BF780" t="str">
        <f>HYPERLINK("http://dx.doi.org/10.1029/2000PA000602","http://dx.doi.org/10.1029/2000PA000602")</f>
        <v>http://dx.doi.org/10.1029/2000PA000602</v>
      </c>
      <c r="BG780" t="s">
        <v>74</v>
      </c>
      <c r="BH780" t="s">
        <v>74</v>
      </c>
      <c r="BI780">
        <v>18</v>
      </c>
      <c r="BJ780" t="s">
        <v>5206</v>
      </c>
      <c r="BK780" t="s">
        <v>569</v>
      </c>
      <c r="BL780" t="s">
        <v>5207</v>
      </c>
      <c r="BM780" t="s">
        <v>10844</v>
      </c>
      <c r="BN780" t="s">
        <v>74</v>
      </c>
      <c r="BO780" t="s">
        <v>572</v>
      </c>
      <c r="BP780" t="s">
        <v>74</v>
      </c>
      <c r="BQ780" t="s">
        <v>74</v>
      </c>
      <c r="BR780" t="s">
        <v>98</v>
      </c>
      <c r="BS780" t="s">
        <v>10855</v>
      </c>
      <c r="BT780" t="str">
        <f>HYPERLINK("https%3A%2F%2Fwww.webofscience.com%2Fwos%2Fwoscc%2Ffull-record%2FWOS:000180650900005","View Full Record in Web of Science")</f>
        <v>View Full Record in Web of Science</v>
      </c>
    </row>
    <row r="781" spans="1:72" x14ac:dyDescent="0.15">
      <c r="A781" t="s">
        <v>552</v>
      </c>
      <c r="B781" t="s">
        <v>10856</v>
      </c>
      <c r="C781" t="s">
        <v>74</v>
      </c>
      <c r="D781" t="s">
        <v>74</v>
      </c>
      <c r="E781" t="s">
        <v>74</v>
      </c>
      <c r="F781" t="s">
        <v>10856</v>
      </c>
      <c r="G781" t="s">
        <v>74</v>
      </c>
      <c r="H781" t="s">
        <v>74</v>
      </c>
      <c r="I781" t="s">
        <v>10857</v>
      </c>
      <c r="J781" t="s">
        <v>4317</v>
      </c>
      <c r="K781" t="s">
        <v>74</v>
      </c>
      <c r="L781" t="s">
        <v>74</v>
      </c>
      <c r="M781" t="s">
        <v>78</v>
      </c>
      <c r="N781" t="s">
        <v>775</v>
      </c>
      <c r="O781" t="s">
        <v>74</v>
      </c>
      <c r="P781" t="s">
        <v>74</v>
      </c>
      <c r="Q781" t="s">
        <v>74</v>
      </c>
      <c r="R781" t="s">
        <v>74</v>
      </c>
      <c r="S781" t="s">
        <v>74</v>
      </c>
      <c r="T781" t="s">
        <v>74</v>
      </c>
      <c r="U781" t="s">
        <v>10858</v>
      </c>
      <c r="V781" t="s">
        <v>10859</v>
      </c>
      <c r="W781" t="s">
        <v>10860</v>
      </c>
      <c r="X781" t="s">
        <v>10861</v>
      </c>
      <c r="Y781" t="s">
        <v>10862</v>
      </c>
      <c r="Z781" t="s">
        <v>74</v>
      </c>
      <c r="AA781" t="s">
        <v>10863</v>
      </c>
      <c r="AB781" t="s">
        <v>8869</v>
      </c>
      <c r="AC781" t="s">
        <v>74</v>
      </c>
      <c r="AD781" t="s">
        <v>74</v>
      </c>
      <c r="AE781" t="s">
        <v>74</v>
      </c>
      <c r="AF781" t="s">
        <v>74</v>
      </c>
      <c r="AG781">
        <v>32</v>
      </c>
      <c r="AH781">
        <v>19</v>
      </c>
      <c r="AI781">
        <v>22</v>
      </c>
      <c r="AJ781">
        <v>0</v>
      </c>
      <c r="AK781">
        <v>3</v>
      </c>
      <c r="AL781" t="s">
        <v>10864</v>
      </c>
      <c r="AM781" t="s">
        <v>10865</v>
      </c>
      <c r="AN781" t="s">
        <v>10866</v>
      </c>
      <c r="AO781" t="s">
        <v>4325</v>
      </c>
      <c r="AP781" t="s">
        <v>74</v>
      </c>
      <c r="AQ781" t="s">
        <v>74</v>
      </c>
      <c r="AR781" t="s">
        <v>4327</v>
      </c>
      <c r="AS781" t="s">
        <v>4328</v>
      </c>
      <c r="AT781" t="s">
        <v>9785</v>
      </c>
      <c r="AU781">
        <v>2002</v>
      </c>
      <c r="AV781">
        <v>76</v>
      </c>
      <c r="AW781">
        <v>3</v>
      </c>
      <c r="AX781" t="s">
        <v>74</v>
      </c>
      <c r="AY781" t="s">
        <v>74</v>
      </c>
      <c r="AZ781" t="s">
        <v>74</v>
      </c>
      <c r="BA781" t="s">
        <v>74</v>
      </c>
      <c r="BB781">
        <v>274</v>
      </c>
      <c r="BC781">
        <v>280</v>
      </c>
      <c r="BD781" t="s">
        <v>74</v>
      </c>
      <c r="BE781" t="s">
        <v>10867</v>
      </c>
      <c r="BF781" t="str">
        <f>HYPERLINK("http://dx.doi.org/10.1562/0031-8655(2002)076&lt;0274:EODDTA&gt;2.0.CO;2","http://dx.doi.org/10.1562/0031-8655(2002)076&lt;0274:EODDTA&gt;2.0.CO;2")</f>
        <v>http://dx.doi.org/10.1562/0031-8655(2002)076&lt;0274:EODDTA&gt;2.0.CO;2</v>
      </c>
      <c r="BG781" t="s">
        <v>74</v>
      </c>
      <c r="BH781" t="s">
        <v>74</v>
      </c>
      <c r="BI781">
        <v>7</v>
      </c>
      <c r="BJ781" t="s">
        <v>4330</v>
      </c>
      <c r="BK781" t="s">
        <v>569</v>
      </c>
      <c r="BL781" t="s">
        <v>4330</v>
      </c>
      <c r="BM781" t="s">
        <v>10868</v>
      </c>
      <c r="BN781">
        <v>12403448</v>
      </c>
      <c r="BO781" t="s">
        <v>74</v>
      </c>
      <c r="BP781" t="s">
        <v>74</v>
      </c>
      <c r="BQ781" t="s">
        <v>74</v>
      </c>
      <c r="BR781" t="s">
        <v>98</v>
      </c>
      <c r="BS781" t="s">
        <v>10869</v>
      </c>
      <c r="BT781" t="str">
        <f>HYPERLINK("https%3A%2F%2Fwww.webofscience.com%2Fwos%2Fwoscc%2Ffull-record%2FWOS:000178262500006","View Full Record in Web of Science")</f>
        <v>View Full Record in Web of Science</v>
      </c>
    </row>
    <row r="782" spans="1:72" x14ac:dyDescent="0.15">
      <c r="A782" t="s">
        <v>552</v>
      </c>
      <c r="B782" t="s">
        <v>10870</v>
      </c>
      <c r="C782" t="s">
        <v>74</v>
      </c>
      <c r="D782" t="s">
        <v>74</v>
      </c>
      <c r="E782" t="s">
        <v>74</v>
      </c>
      <c r="F782" t="s">
        <v>10870</v>
      </c>
      <c r="G782" t="s">
        <v>74</v>
      </c>
      <c r="H782" t="s">
        <v>74</v>
      </c>
      <c r="I782" t="s">
        <v>10871</v>
      </c>
      <c r="J782" t="s">
        <v>10872</v>
      </c>
      <c r="K782" t="s">
        <v>74</v>
      </c>
      <c r="L782" t="s">
        <v>74</v>
      </c>
      <c r="M782" t="s">
        <v>78</v>
      </c>
      <c r="N782" t="s">
        <v>775</v>
      </c>
      <c r="O782" t="s">
        <v>74</v>
      </c>
      <c r="P782" t="s">
        <v>74</v>
      </c>
      <c r="Q782" t="s">
        <v>74</v>
      </c>
      <c r="R782" t="s">
        <v>74</v>
      </c>
      <c r="S782" t="s">
        <v>74</v>
      </c>
      <c r="T782" t="s">
        <v>10873</v>
      </c>
      <c r="U782" t="s">
        <v>10874</v>
      </c>
      <c r="V782" t="s">
        <v>10875</v>
      </c>
      <c r="W782" t="s">
        <v>10876</v>
      </c>
      <c r="X782" t="s">
        <v>584</v>
      </c>
      <c r="Y782" t="s">
        <v>10877</v>
      </c>
      <c r="Z782" t="s">
        <v>10878</v>
      </c>
      <c r="AA782" t="s">
        <v>10879</v>
      </c>
      <c r="AB782" t="s">
        <v>10880</v>
      </c>
      <c r="AC782" t="s">
        <v>74</v>
      </c>
      <c r="AD782" t="s">
        <v>74</v>
      </c>
      <c r="AE782" t="s">
        <v>74</v>
      </c>
      <c r="AF782" t="s">
        <v>74</v>
      </c>
      <c r="AG782">
        <v>48</v>
      </c>
      <c r="AH782">
        <v>89</v>
      </c>
      <c r="AI782">
        <v>98</v>
      </c>
      <c r="AJ782">
        <v>2</v>
      </c>
      <c r="AK782">
        <v>51</v>
      </c>
      <c r="AL782" t="s">
        <v>806</v>
      </c>
      <c r="AM782" t="s">
        <v>807</v>
      </c>
      <c r="AN782" t="s">
        <v>808</v>
      </c>
      <c r="AO782" t="s">
        <v>10881</v>
      </c>
      <c r="AP782" t="s">
        <v>74</v>
      </c>
      <c r="AQ782" t="s">
        <v>74</v>
      </c>
      <c r="AR782" t="s">
        <v>10872</v>
      </c>
      <c r="AS782" t="s">
        <v>10882</v>
      </c>
      <c r="AT782" t="s">
        <v>9785</v>
      </c>
      <c r="AU782">
        <v>2002</v>
      </c>
      <c r="AV782">
        <v>61</v>
      </c>
      <c r="AW782">
        <v>1</v>
      </c>
      <c r="AX782" t="s">
        <v>74</v>
      </c>
      <c r="AY782" t="s">
        <v>74</v>
      </c>
      <c r="AZ782" t="s">
        <v>74</v>
      </c>
      <c r="BA782" t="s">
        <v>74</v>
      </c>
      <c r="BB782">
        <v>41</v>
      </c>
      <c r="BC782">
        <v>51</v>
      </c>
      <c r="BD782" t="s">
        <v>10883</v>
      </c>
      <c r="BE782" t="s">
        <v>10884</v>
      </c>
      <c r="BF782" t="str">
        <f>HYPERLINK("http://dx.doi.org/10.1016/S0031-9422(02)00216-9","http://dx.doi.org/10.1016/S0031-9422(02)00216-9")</f>
        <v>http://dx.doi.org/10.1016/S0031-9422(02)00216-9</v>
      </c>
      <c r="BG782" t="s">
        <v>74</v>
      </c>
      <c r="BH782" t="s">
        <v>74</v>
      </c>
      <c r="BI782">
        <v>11</v>
      </c>
      <c r="BJ782" t="s">
        <v>10885</v>
      </c>
      <c r="BK782" t="s">
        <v>569</v>
      </c>
      <c r="BL782" t="s">
        <v>10885</v>
      </c>
      <c r="BM782" t="s">
        <v>10886</v>
      </c>
      <c r="BN782">
        <v>12165301</v>
      </c>
      <c r="BO782" t="s">
        <v>794</v>
      </c>
      <c r="BP782" t="s">
        <v>74</v>
      </c>
      <c r="BQ782" t="s">
        <v>74</v>
      </c>
      <c r="BR782" t="s">
        <v>98</v>
      </c>
      <c r="BS782" t="s">
        <v>10887</v>
      </c>
      <c r="BT782" t="str">
        <f>HYPERLINK("https%3A%2F%2Fwww.webofscience.com%2Fwos%2Fwoscc%2Ffull-record%2FWOS:000178189500007","View Full Record in Web of Science")</f>
        <v>View Full Record in Web of Science</v>
      </c>
    </row>
    <row r="783" spans="1:72" x14ac:dyDescent="0.15">
      <c r="A783" t="s">
        <v>552</v>
      </c>
      <c r="B783" t="s">
        <v>10870</v>
      </c>
      <c r="C783" t="s">
        <v>74</v>
      </c>
      <c r="D783" t="s">
        <v>74</v>
      </c>
      <c r="E783" t="s">
        <v>74</v>
      </c>
      <c r="F783" t="s">
        <v>10870</v>
      </c>
      <c r="G783" t="s">
        <v>74</v>
      </c>
      <c r="H783" t="s">
        <v>74</v>
      </c>
      <c r="I783" t="s">
        <v>10888</v>
      </c>
      <c r="J783" t="s">
        <v>10872</v>
      </c>
      <c r="K783" t="s">
        <v>74</v>
      </c>
      <c r="L783" t="s">
        <v>74</v>
      </c>
      <c r="M783" t="s">
        <v>78</v>
      </c>
      <c r="N783" t="s">
        <v>775</v>
      </c>
      <c r="O783" t="s">
        <v>74</v>
      </c>
      <c r="P783" t="s">
        <v>74</v>
      </c>
      <c r="Q783" t="s">
        <v>74</v>
      </c>
      <c r="R783" t="s">
        <v>74</v>
      </c>
      <c r="S783" t="s">
        <v>74</v>
      </c>
      <c r="T783" t="s">
        <v>10889</v>
      </c>
      <c r="U783" t="s">
        <v>10890</v>
      </c>
      <c r="V783" t="s">
        <v>10891</v>
      </c>
      <c r="W783" t="s">
        <v>10876</v>
      </c>
      <c r="X783" t="s">
        <v>584</v>
      </c>
      <c r="Y783" t="s">
        <v>10877</v>
      </c>
      <c r="Z783" t="s">
        <v>10878</v>
      </c>
      <c r="AA783" t="s">
        <v>10879</v>
      </c>
      <c r="AB783" t="s">
        <v>10880</v>
      </c>
      <c r="AC783" t="s">
        <v>74</v>
      </c>
      <c r="AD783" t="s">
        <v>74</v>
      </c>
      <c r="AE783" t="s">
        <v>74</v>
      </c>
      <c r="AF783" t="s">
        <v>74</v>
      </c>
      <c r="AG783">
        <v>23</v>
      </c>
      <c r="AH783">
        <v>91</v>
      </c>
      <c r="AI783">
        <v>107</v>
      </c>
      <c r="AJ783">
        <v>0</v>
      </c>
      <c r="AK783">
        <v>41</v>
      </c>
      <c r="AL783" t="s">
        <v>806</v>
      </c>
      <c r="AM783" t="s">
        <v>807</v>
      </c>
      <c r="AN783" t="s">
        <v>808</v>
      </c>
      <c r="AO783" t="s">
        <v>10881</v>
      </c>
      <c r="AP783" t="s">
        <v>74</v>
      </c>
      <c r="AQ783" t="s">
        <v>74</v>
      </c>
      <c r="AR783" t="s">
        <v>10872</v>
      </c>
      <c r="AS783" t="s">
        <v>10882</v>
      </c>
      <c r="AT783" t="s">
        <v>9785</v>
      </c>
      <c r="AU783">
        <v>2002</v>
      </c>
      <c r="AV783">
        <v>61</v>
      </c>
      <c r="AW783">
        <v>1</v>
      </c>
      <c r="AX783" t="s">
        <v>74</v>
      </c>
      <c r="AY783" t="s">
        <v>74</v>
      </c>
      <c r="AZ783" t="s">
        <v>74</v>
      </c>
      <c r="BA783" t="s">
        <v>74</v>
      </c>
      <c r="BB783">
        <v>53</v>
      </c>
      <c r="BC783">
        <v>60</v>
      </c>
      <c r="BD783" t="s">
        <v>10892</v>
      </c>
      <c r="BE783" t="s">
        <v>10893</v>
      </c>
      <c r="BF783" t="str">
        <f>HYPERLINK("http://dx.doi.org/10.1016/S0031-9422(02)00215-7","http://dx.doi.org/10.1016/S0031-9422(02)00215-7")</f>
        <v>http://dx.doi.org/10.1016/S0031-9422(02)00215-7</v>
      </c>
      <c r="BG783" t="s">
        <v>74</v>
      </c>
      <c r="BH783" t="s">
        <v>74</v>
      </c>
      <c r="BI783">
        <v>8</v>
      </c>
      <c r="BJ783" t="s">
        <v>10885</v>
      </c>
      <c r="BK783" t="s">
        <v>569</v>
      </c>
      <c r="BL783" t="s">
        <v>10885</v>
      </c>
      <c r="BM783" t="s">
        <v>10886</v>
      </c>
      <c r="BN783">
        <v>12165302</v>
      </c>
      <c r="BO783" t="s">
        <v>794</v>
      </c>
      <c r="BP783" t="s">
        <v>74</v>
      </c>
      <c r="BQ783" t="s">
        <v>74</v>
      </c>
      <c r="BR783" t="s">
        <v>98</v>
      </c>
      <c r="BS783" t="s">
        <v>10894</v>
      </c>
      <c r="BT783" t="str">
        <f>HYPERLINK("https%3A%2F%2Fwww.webofscience.com%2Fwos%2Fwoscc%2Ffull-record%2FWOS:000178189500008","View Full Record in Web of Science")</f>
        <v>View Full Record in Web of Science</v>
      </c>
    </row>
    <row r="784" spans="1:72" x14ac:dyDescent="0.15">
      <c r="A784" t="s">
        <v>552</v>
      </c>
      <c r="B784" t="s">
        <v>10895</v>
      </c>
      <c r="C784" t="s">
        <v>74</v>
      </c>
      <c r="D784" t="s">
        <v>74</v>
      </c>
      <c r="E784" t="s">
        <v>74</v>
      </c>
      <c r="F784" t="s">
        <v>10895</v>
      </c>
      <c r="G784" t="s">
        <v>74</v>
      </c>
      <c r="H784" t="s">
        <v>74</v>
      </c>
      <c r="I784" t="s">
        <v>10896</v>
      </c>
      <c r="J784" t="s">
        <v>4431</v>
      </c>
      <c r="K784" t="s">
        <v>74</v>
      </c>
      <c r="L784" t="s">
        <v>74</v>
      </c>
      <c r="M784" t="s">
        <v>78</v>
      </c>
      <c r="N784" t="s">
        <v>775</v>
      </c>
      <c r="O784" t="s">
        <v>74</v>
      </c>
      <c r="P784" t="s">
        <v>74</v>
      </c>
      <c r="Q784" t="s">
        <v>74</v>
      </c>
      <c r="R784" t="s">
        <v>74</v>
      </c>
      <c r="S784" t="s">
        <v>74</v>
      </c>
      <c r="T784" t="s">
        <v>74</v>
      </c>
      <c r="U784" t="s">
        <v>10897</v>
      </c>
      <c r="V784" t="s">
        <v>10898</v>
      </c>
      <c r="W784" t="s">
        <v>10899</v>
      </c>
      <c r="X784" t="s">
        <v>10900</v>
      </c>
      <c r="Y784" t="s">
        <v>10901</v>
      </c>
      <c r="Z784" t="s">
        <v>10902</v>
      </c>
      <c r="AA784" t="s">
        <v>10903</v>
      </c>
      <c r="AB784" t="s">
        <v>74</v>
      </c>
      <c r="AC784" t="s">
        <v>74</v>
      </c>
      <c r="AD784" t="s">
        <v>74</v>
      </c>
      <c r="AE784" t="s">
        <v>74</v>
      </c>
      <c r="AF784" t="s">
        <v>74</v>
      </c>
      <c r="AG784">
        <v>64</v>
      </c>
      <c r="AH784">
        <v>25</v>
      </c>
      <c r="AI784">
        <v>30</v>
      </c>
      <c r="AJ784">
        <v>0</v>
      </c>
      <c r="AK784">
        <v>8</v>
      </c>
      <c r="AL784" t="s">
        <v>1230</v>
      </c>
      <c r="AM784" t="s">
        <v>561</v>
      </c>
      <c r="AN784" t="s">
        <v>2959</v>
      </c>
      <c r="AO784" t="s">
        <v>4435</v>
      </c>
      <c r="AP784" t="s">
        <v>4450</v>
      </c>
      <c r="AQ784" t="s">
        <v>74</v>
      </c>
      <c r="AR784" t="s">
        <v>4436</v>
      </c>
      <c r="AS784" t="s">
        <v>4437</v>
      </c>
      <c r="AT784" t="s">
        <v>9785</v>
      </c>
      <c r="AU784">
        <v>2002</v>
      </c>
      <c r="AV784">
        <v>25</v>
      </c>
      <c r="AW784">
        <v>9</v>
      </c>
      <c r="AX784" t="s">
        <v>74</v>
      </c>
      <c r="AY784" t="s">
        <v>74</v>
      </c>
      <c r="AZ784" t="s">
        <v>74</v>
      </c>
      <c r="BA784" t="s">
        <v>74</v>
      </c>
      <c r="BB784">
        <v>633</v>
      </c>
      <c r="BC784">
        <v>640</v>
      </c>
      <c r="BD784" t="s">
        <v>74</v>
      </c>
      <c r="BE784" t="s">
        <v>10904</v>
      </c>
      <c r="BF784" t="str">
        <f>HYPERLINK("http://dx.doi.org/10.1007/s00300-002-0407-6","http://dx.doi.org/10.1007/s00300-002-0407-6")</f>
        <v>http://dx.doi.org/10.1007/s00300-002-0407-6</v>
      </c>
      <c r="BG784" t="s">
        <v>74</v>
      </c>
      <c r="BH784" t="s">
        <v>74</v>
      </c>
      <c r="BI784">
        <v>8</v>
      </c>
      <c r="BJ784" t="s">
        <v>4439</v>
      </c>
      <c r="BK784" t="s">
        <v>569</v>
      </c>
      <c r="BL784" t="s">
        <v>4440</v>
      </c>
      <c r="BM784" t="s">
        <v>10905</v>
      </c>
      <c r="BN784" t="s">
        <v>74</v>
      </c>
      <c r="BO784" t="s">
        <v>74</v>
      </c>
      <c r="BP784" t="s">
        <v>74</v>
      </c>
      <c r="BQ784" t="s">
        <v>74</v>
      </c>
      <c r="BR784" t="s">
        <v>98</v>
      </c>
      <c r="BS784" t="s">
        <v>10906</v>
      </c>
      <c r="BT784" t="str">
        <f>HYPERLINK("https%3A%2F%2Fwww.webofscience.com%2Fwos%2Fwoscc%2Ffull-record%2FWOS:000177863700001","View Full Record in Web of Science")</f>
        <v>View Full Record in Web of Science</v>
      </c>
    </row>
    <row r="785" spans="1:72" x14ac:dyDescent="0.15">
      <c r="A785" t="s">
        <v>552</v>
      </c>
      <c r="B785" t="s">
        <v>10907</v>
      </c>
      <c r="C785" t="s">
        <v>74</v>
      </c>
      <c r="D785" t="s">
        <v>74</v>
      </c>
      <c r="E785" t="s">
        <v>74</v>
      </c>
      <c r="F785" t="s">
        <v>10907</v>
      </c>
      <c r="G785" t="s">
        <v>74</v>
      </c>
      <c r="H785" t="s">
        <v>74</v>
      </c>
      <c r="I785" t="s">
        <v>10908</v>
      </c>
      <c r="J785" t="s">
        <v>4431</v>
      </c>
      <c r="K785" t="s">
        <v>74</v>
      </c>
      <c r="L785" t="s">
        <v>74</v>
      </c>
      <c r="M785" t="s">
        <v>78</v>
      </c>
      <c r="N785" t="s">
        <v>775</v>
      </c>
      <c r="O785" t="s">
        <v>74</v>
      </c>
      <c r="P785" t="s">
        <v>74</v>
      </c>
      <c r="Q785" t="s">
        <v>74</v>
      </c>
      <c r="R785" t="s">
        <v>74</v>
      </c>
      <c r="S785" t="s">
        <v>74</v>
      </c>
      <c r="T785" t="s">
        <v>74</v>
      </c>
      <c r="U785" t="s">
        <v>10909</v>
      </c>
      <c r="V785" t="s">
        <v>10910</v>
      </c>
      <c r="W785" t="s">
        <v>10911</v>
      </c>
      <c r="X785" t="s">
        <v>10912</v>
      </c>
      <c r="Y785" t="s">
        <v>10913</v>
      </c>
      <c r="Z785" t="s">
        <v>74</v>
      </c>
      <c r="AA785" t="s">
        <v>10914</v>
      </c>
      <c r="AB785" t="s">
        <v>10915</v>
      </c>
      <c r="AC785" t="s">
        <v>74</v>
      </c>
      <c r="AD785" t="s">
        <v>74</v>
      </c>
      <c r="AE785" t="s">
        <v>74</v>
      </c>
      <c r="AF785" t="s">
        <v>74</v>
      </c>
      <c r="AG785">
        <v>24</v>
      </c>
      <c r="AH785">
        <v>17</v>
      </c>
      <c r="AI785">
        <v>20</v>
      </c>
      <c r="AJ785">
        <v>0</v>
      </c>
      <c r="AK785">
        <v>11</v>
      </c>
      <c r="AL785" t="s">
        <v>1259</v>
      </c>
      <c r="AM785" t="s">
        <v>561</v>
      </c>
      <c r="AN785" t="s">
        <v>1260</v>
      </c>
      <c r="AO785" t="s">
        <v>4435</v>
      </c>
      <c r="AP785" t="s">
        <v>74</v>
      </c>
      <c r="AQ785" t="s">
        <v>74</v>
      </c>
      <c r="AR785" t="s">
        <v>4436</v>
      </c>
      <c r="AS785" t="s">
        <v>4437</v>
      </c>
      <c r="AT785" t="s">
        <v>9785</v>
      </c>
      <c r="AU785">
        <v>2002</v>
      </c>
      <c r="AV785">
        <v>25</v>
      </c>
      <c r="AW785">
        <v>9</v>
      </c>
      <c r="AX785" t="s">
        <v>74</v>
      </c>
      <c r="AY785" t="s">
        <v>74</v>
      </c>
      <c r="AZ785" t="s">
        <v>74</v>
      </c>
      <c r="BA785" t="s">
        <v>74</v>
      </c>
      <c r="BB785">
        <v>650</v>
      </c>
      <c r="BC785">
        <v>655</v>
      </c>
      <c r="BD785" t="s">
        <v>74</v>
      </c>
      <c r="BE785" t="s">
        <v>10916</v>
      </c>
      <c r="BF785" t="str">
        <f>HYPERLINK("http://dx.doi.org/10.1007/s00300-002-0396-5","http://dx.doi.org/10.1007/s00300-002-0396-5")</f>
        <v>http://dx.doi.org/10.1007/s00300-002-0396-5</v>
      </c>
      <c r="BG785" t="s">
        <v>74</v>
      </c>
      <c r="BH785" t="s">
        <v>74</v>
      </c>
      <c r="BI785">
        <v>6</v>
      </c>
      <c r="BJ785" t="s">
        <v>4439</v>
      </c>
      <c r="BK785" t="s">
        <v>569</v>
      </c>
      <c r="BL785" t="s">
        <v>4440</v>
      </c>
      <c r="BM785" t="s">
        <v>10905</v>
      </c>
      <c r="BN785" t="s">
        <v>74</v>
      </c>
      <c r="BO785" t="s">
        <v>74</v>
      </c>
      <c r="BP785" t="s">
        <v>74</v>
      </c>
      <c r="BQ785" t="s">
        <v>74</v>
      </c>
      <c r="BR785" t="s">
        <v>98</v>
      </c>
      <c r="BS785" t="s">
        <v>10917</v>
      </c>
      <c r="BT785" t="str">
        <f>HYPERLINK("https%3A%2F%2Fwww.webofscience.com%2Fwos%2Fwoscc%2Ffull-record%2FWOS:000177863700003","View Full Record in Web of Science")</f>
        <v>View Full Record in Web of Science</v>
      </c>
    </row>
    <row r="786" spans="1:72" x14ac:dyDescent="0.15">
      <c r="A786" t="s">
        <v>552</v>
      </c>
      <c r="B786" t="s">
        <v>10918</v>
      </c>
      <c r="C786" t="s">
        <v>74</v>
      </c>
      <c r="D786" t="s">
        <v>74</v>
      </c>
      <c r="E786" t="s">
        <v>74</v>
      </c>
      <c r="F786" t="s">
        <v>10918</v>
      </c>
      <c r="G786" t="s">
        <v>74</v>
      </c>
      <c r="H786" t="s">
        <v>74</v>
      </c>
      <c r="I786" t="s">
        <v>10919</v>
      </c>
      <c r="J786" t="s">
        <v>4431</v>
      </c>
      <c r="K786" t="s">
        <v>74</v>
      </c>
      <c r="L786" t="s">
        <v>74</v>
      </c>
      <c r="M786" t="s">
        <v>78</v>
      </c>
      <c r="N786" t="s">
        <v>775</v>
      </c>
      <c r="O786" t="s">
        <v>74</v>
      </c>
      <c r="P786" t="s">
        <v>74</v>
      </c>
      <c r="Q786" t="s">
        <v>74</v>
      </c>
      <c r="R786" t="s">
        <v>74</v>
      </c>
      <c r="S786" t="s">
        <v>74</v>
      </c>
      <c r="T786" t="s">
        <v>74</v>
      </c>
      <c r="U786" t="s">
        <v>10920</v>
      </c>
      <c r="V786" t="s">
        <v>10921</v>
      </c>
      <c r="W786" t="s">
        <v>10922</v>
      </c>
      <c r="X786" t="s">
        <v>6697</v>
      </c>
      <c r="Y786" t="s">
        <v>10923</v>
      </c>
      <c r="Z786" t="s">
        <v>74</v>
      </c>
      <c r="AA786" t="s">
        <v>74</v>
      </c>
      <c r="AB786" t="s">
        <v>74</v>
      </c>
      <c r="AC786" t="s">
        <v>74</v>
      </c>
      <c r="AD786" t="s">
        <v>74</v>
      </c>
      <c r="AE786" t="s">
        <v>74</v>
      </c>
      <c r="AF786" t="s">
        <v>74</v>
      </c>
      <c r="AG786">
        <v>16</v>
      </c>
      <c r="AH786">
        <v>4</v>
      </c>
      <c r="AI786">
        <v>4</v>
      </c>
      <c r="AJ786">
        <v>0</v>
      </c>
      <c r="AK786">
        <v>2</v>
      </c>
      <c r="AL786" t="s">
        <v>1259</v>
      </c>
      <c r="AM786" t="s">
        <v>561</v>
      </c>
      <c r="AN786" t="s">
        <v>1260</v>
      </c>
      <c r="AO786" t="s">
        <v>4435</v>
      </c>
      <c r="AP786" t="s">
        <v>74</v>
      </c>
      <c r="AQ786" t="s">
        <v>74</v>
      </c>
      <c r="AR786" t="s">
        <v>4436</v>
      </c>
      <c r="AS786" t="s">
        <v>4437</v>
      </c>
      <c r="AT786" t="s">
        <v>9785</v>
      </c>
      <c r="AU786">
        <v>2002</v>
      </c>
      <c r="AV786">
        <v>25</v>
      </c>
      <c r="AW786">
        <v>9</v>
      </c>
      <c r="AX786" t="s">
        <v>74</v>
      </c>
      <c r="AY786" t="s">
        <v>74</v>
      </c>
      <c r="AZ786" t="s">
        <v>74</v>
      </c>
      <c r="BA786" t="s">
        <v>74</v>
      </c>
      <c r="BB786">
        <v>667</v>
      </c>
      <c r="BC786">
        <v>671</v>
      </c>
      <c r="BD786" t="s">
        <v>74</v>
      </c>
      <c r="BE786" t="s">
        <v>10924</v>
      </c>
      <c r="BF786" t="str">
        <f>HYPERLINK("http://dx.doi.org/10.1007/s00300-002-0394-7","http://dx.doi.org/10.1007/s00300-002-0394-7")</f>
        <v>http://dx.doi.org/10.1007/s00300-002-0394-7</v>
      </c>
      <c r="BG786" t="s">
        <v>74</v>
      </c>
      <c r="BH786" t="s">
        <v>74</v>
      </c>
      <c r="BI786">
        <v>5</v>
      </c>
      <c r="BJ786" t="s">
        <v>4439</v>
      </c>
      <c r="BK786" t="s">
        <v>569</v>
      </c>
      <c r="BL786" t="s">
        <v>4440</v>
      </c>
      <c r="BM786" t="s">
        <v>10905</v>
      </c>
      <c r="BN786" t="s">
        <v>74</v>
      </c>
      <c r="BO786" t="s">
        <v>74</v>
      </c>
      <c r="BP786" t="s">
        <v>74</v>
      </c>
      <c r="BQ786" t="s">
        <v>74</v>
      </c>
      <c r="BR786" t="s">
        <v>98</v>
      </c>
      <c r="BS786" t="s">
        <v>10925</v>
      </c>
      <c r="BT786" t="str">
        <f>HYPERLINK("https%3A%2F%2Fwww.webofscience.com%2Fwos%2Fwoscc%2Ffull-record%2FWOS:000177863700005","View Full Record in Web of Science")</f>
        <v>View Full Record in Web of Science</v>
      </c>
    </row>
    <row r="787" spans="1:72" x14ac:dyDescent="0.15">
      <c r="A787" t="s">
        <v>552</v>
      </c>
      <c r="B787" t="s">
        <v>10926</v>
      </c>
      <c r="C787" t="s">
        <v>74</v>
      </c>
      <c r="D787" t="s">
        <v>74</v>
      </c>
      <c r="E787" t="s">
        <v>74</v>
      </c>
      <c r="F787" t="s">
        <v>10926</v>
      </c>
      <c r="G787" t="s">
        <v>74</v>
      </c>
      <c r="H787" t="s">
        <v>74</v>
      </c>
      <c r="I787" t="s">
        <v>10927</v>
      </c>
      <c r="J787" t="s">
        <v>4431</v>
      </c>
      <c r="K787" t="s">
        <v>74</v>
      </c>
      <c r="L787" t="s">
        <v>74</v>
      </c>
      <c r="M787" t="s">
        <v>78</v>
      </c>
      <c r="N787" t="s">
        <v>775</v>
      </c>
      <c r="O787" t="s">
        <v>74</v>
      </c>
      <c r="P787" t="s">
        <v>74</v>
      </c>
      <c r="Q787" t="s">
        <v>74</v>
      </c>
      <c r="R787" t="s">
        <v>74</v>
      </c>
      <c r="S787" t="s">
        <v>74</v>
      </c>
      <c r="T787" t="s">
        <v>74</v>
      </c>
      <c r="U787" t="s">
        <v>10928</v>
      </c>
      <c r="V787" t="s">
        <v>10929</v>
      </c>
      <c r="W787" t="s">
        <v>10930</v>
      </c>
      <c r="X787" t="s">
        <v>10931</v>
      </c>
      <c r="Y787" t="s">
        <v>10932</v>
      </c>
      <c r="Z787" t="s">
        <v>10933</v>
      </c>
      <c r="AA787" t="s">
        <v>10934</v>
      </c>
      <c r="AB787" t="s">
        <v>3081</v>
      </c>
      <c r="AC787" t="s">
        <v>74</v>
      </c>
      <c r="AD787" t="s">
        <v>74</v>
      </c>
      <c r="AE787" t="s">
        <v>74</v>
      </c>
      <c r="AF787" t="s">
        <v>74</v>
      </c>
      <c r="AG787">
        <v>50</v>
      </c>
      <c r="AH787">
        <v>13</v>
      </c>
      <c r="AI787">
        <v>14</v>
      </c>
      <c r="AJ787">
        <v>0</v>
      </c>
      <c r="AK787">
        <v>8</v>
      </c>
      <c r="AL787" t="s">
        <v>1230</v>
      </c>
      <c r="AM787" t="s">
        <v>561</v>
      </c>
      <c r="AN787" t="s">
        <v>1231</v>
      </c>
      <c r="AO787" t="s">
        <v>4435</v>
      </c>
      <c r="AP787" t="s">
        <v>4450</v>
      </c>
      <c r="AQ787" t="s">
        <v>74</v>
      </c>
      <c r="AR787" t="s">
        <v>4436</v>
      </c>
      <c r="AS787" t="s">
        <v>4437</v>
      </c>
      <c r="AT787" t="s">
        <v>9785</v>
      </c>
      <c r="AU787">
        <v>2002</v>
      </c>
      <c r="AV787">
        <v>25</v>
      </c>
      <c r="AW787">
        <v>9</v>
      </c>
      <c r="AX787" t="s">
        <v>74</v>
      </c>
      <c r="AY787" t="s">
        <v>74</v>
      </c>
      <c r="AZ787" t="s">
        <v>74</v>
      </c>
      <c r="BA787" t="s">
        <v>74</v>
      </c>
      <c r="BB787">
        <v>688</v>
      </c>
      <c r="BC787">
        <v>695</v>
      </c>
      <c r="BD787" t="s">
        <v>74</v>
      </c>
      <c r="BE787" t="s">
        <v>10935</v>
      </c>
      <c r="BF787" t="str">
        <f>HYPERLINK("http://dx.doi.org/10.1007/s00300-002-0404-9","http://dx.doi.org/10.1007/s00300-002-0404-9")</f>
        <v>http://dx.doi.org/10.1007/s00300-002-0404-9</v>
      </c>
      <c r="BG787" t="s">
        <v>74</v>
      </c>
      <c r="BH787" t="s">
        <v>74</v>
      </c>
      <c r="BI787">
        <v>8</v>
      </c>
      <c r="BJ787" t="s">
        <v>4439</v>
      </c>
      <c r="BK787" t="s">
        <v>569</v>
      </c>
      <c r="BL787" t="s">
        <v>4440</v>
      </c>
      <c r="BM787" t="s">
        <v>10905</v>
      </c>
      <c r="BN787" t="s">
        <v>74</v>
      </c>
      <c r="BO787" t="s">
        <v>74</v>
      </c>
      <c r="BP787" t="s">
        <v>74</v>
      </c>
      <c r="BQ787" t="s">
        <v>74</v>
      </c>
      <c r="BR787" t="s">
        <v>98</v>
      </c>
      <c r="BS787" t="s">
        <v>10936</v>
      </c>
      <c r="BT787" t="str">
        <f>HYPERLINK("https%3A%2F%2Fwww.webofscience.com%2Fwos%2Fwoscc%2Ffull-record%2FWOS:000177863700008","View Full Record in Web of Science")</f>
        <v>View Full Record in Web of Science</v>
      </c>
    </row>
    <row r="788" spans="1:72" x14ac:dyDescent="0.15">
      <c r="A788" t="s">
        <v>552</v>
      </c>
      <c r="B788" t="s">
        <v>10937</v>
      </c>
      <c r="C788" t="s">
        <v>74</v>
      </c>
      <c r="D788" t="s">
        <v>74</v>
      </c>
      <c r="E788" t="s">
        <v>74</v>
      </c>
      <c r="F788" t="s">
        <v>10937</v>
      </c>
      <c r="G788" t="s">
        <v>74</v>
      </c>
      <c r="H788" t="s">
        <v>74</v>
      </c>
      <c r="I788" t="s">
        <v>10938</v>
      </c>
      <c r="J788" t="s">
        <v>4431</v>
      </c>
      <c r="K788" t="s">
        <v>74</v>
      </c>
      <c r="L788" t="s">
        <v>74</v>
      </c>
      <c r="M788" t="s">
        <v>78</v>
      </c>
      <c r="N788" t="s">
        <v>775</v>
      </c>
      <c r="O788" t="s">
        <v>74</v>
      </c>
      <c r="P788" t="s">
        <v>74</v>
      </c>
      <c r="Q788" t="s">
        <v>74</v>
      </c>
      <c r="R788" t="s">
        <v>74</v>
      </c>
      <c r="S788" t="s">
        <v>74</v>
      </c>
      <c r="T788" t="s">
        <v>74</v>
      </c>
      <c r="U788" t="s">
        <v>10939</v>
      </c>
      <c r="V788" t="s">
        <v>10940</v>
      </c>
      <c r="W788" t="s">
        <v>10941</v>
      </c>
      <c r="X788" t="s">
        <v>10942</v>
      </c>
      <c r="Y788" t="s">
        <v>10943</v>
      </c>
      <c r="Z788" t="s">
        <v>10944</v>
      </c>
      <c r="AA788" t="s">
        <v>10934</v>
      </c>
      <c r="AB788" t="s">
        <v>10945</v>
      </c>
      <c r="AC788" t="s">
        <v>74</v>
      </c>
      <c r="AD788" t="s">
        <v>74</v>
      </c>
      <c r="AE788" t="s">
        <v>74</v>
      </c>
      <c r="AF788" t="s">
        <v>74</v>
      </c>
      <c r="AG788">
        <v>40</v>
      </c>
      <c r="AH788">
        <v>84</v>
      </c>
      <c r="AI788">
        <v>93</v>
      </c>
      <c r="AJ788">
        <v>0</v>
      </c>
      <c r="AK788">
        <v>24</v>
      </c>
      <c r="AL788" t="s">
        <v>1230</v>
      </c>
      <c r="AM788" t="s">
        <v>561</v>
      </c>
      <c r="AN788" t="s">
        <v>2959</v>
      </c>
      <c r="AO788" t="s">
        <v>4435</v>
      </c>
      <c r="AP788" t="s">
        <v>4450</v>
      </c>
      <c r="AQ788" t="s">
        <v>74</v>
      </c>
      <c r="AR788" t="s">
        <v>4436</v>
      </c>
      <c r="AS788" t="s">
        <v>4437</v>
      </c>
      <c r="AT788" t="s">
        <v>9785</v>
      </c>
      <c r="AU788">
        <v>2002</v>
      </c>
      <c r="AV788">
        <v>25</v>
      </c>
      <c r="AW788">
        <v>9</v>
      </c>
      <c r="AX788" t="s">
        <v>74</v>
      </c>
      <c r="AY788" t="s">
        <v>74</v>
      </c>
      <c r="AZ788" t="s">
        <v>74</v>
      </c>
      <c r="BA788" t="s">
        <v>74</v>
      </c>
      <c r="BB788">
        <v>703</v>
      </c>
      <c r="BC788">
        <v>715</v>
      </c>
      <c r="BD788" t="s">
        <v>74</v>
      </c>
      <c r="BE788" t="s">
        <v>10946</v>
      </c>
      <c r="BF788" t="str">
        <f>HYPERLINK("http://dx.doi.org/10.1007/s00300-002-0405-8","http://dx.doi.org/10.1007/s00300-002-0405-8")</f>
        <v>http://dx.doi.org/10.1007/s00300-002-0405-8</v>
      </c>
      <c r="BG788" t="s">
        <v>74</v>
      </c>
      <c r="BH788" t="s">
        <v>74</v>
      </c>
      <c r="BI788">
        <v>13</v>
      </c>
      <c r="BJ788" t="s">
        <v>4439</v>
      </c>
      <c r="BK788" t="s">
        <v>569</v>
      </c>
      <c r="BL788" t="s">
        <v>4440</v>
      </c>
      <c r="BM788" t="s">
        <v>10905</v>
      </c>
      <c r="BN788" t="s">
        <v>74</v>
      </c>
      <c r="BO788" t="s">
        <v>74</v>
      </c>
      <c r="BP788" t="s">
        <v>74</v>
      </c>
      <c r="BQ788" t="s">
        <v>74</v>
      </c>
      <c r="BR788" t="s">
        <v>98</v>
      </c>
      <c r="BS788" t="s">
        <v>10947</v>
      </c>
      <c r="BT788" t="str">
        <f>HYPERLINK("https%3A%2F%2Fwww.webofscience.com%2Fwos%2Fwoscc%2Ffull-record%2FWOS:000177863700010","View Full Record in Web of Science")</f>
        <v>View Full Record in Web of Science</v>
      </c>
    </row>
    <row r="789" spans="1:72" x14ac:dyDescent="0.15">
      <c r="A789" t="s">
        <v>552</v>
      </c>
      <c r="B789" t="s">
        <v>10948</v>
      </c>
      <c r="C789" t="s">
        <v>74</v>
      </c>
      <c r="D789" t="s">
        <v>74</v>
      </c>
      <c r="E789" t="s">
        <v>74</v>
      </c>
      <c r="F789" t="s">
        <v>10948</v>
      </c>
      <c r="G789" t="s">
        <v>74</v>
      </c>
      <c r="H789" t="s">
        <v>74</v>
      </c>
      <c r="I789" t="s">
        <v>10949</v>
      </c>
      <c r="J789" t="s">
        <v>10950</v>
      </c>
      <c r="K789" t="s">
        <v>74</v>
      </c>
      <c r="L789" t="s">
        <v>74</v>
      </c>
      <c r="M789" t="s">
        <v>78</v>
      </c>
      <c r="N789" t="s">
        <v>775</v>
      </c>
      <c r="O789" t="s">
        <v>74</v>
      </c>
      <c r="P789" t="s">
        <v>74</v>
      </c>
      <c r="Q789" t="s">
        <v>74</v>
      </c>
      <c r="R789" t="s">
        <v>74</v>
      </c>
      <c r="S789" t="s">
        <v>74</v>
      </c>
      <c r="T789" t="s">
        <v>74</v>
      </c>
      <c r="U789" t="s">
        <v>10951</v>
      </c>
      <c r="V789" t="s">
        <v>10952</v>
      </c>
      <c r="W789" t="s">
        <v>10953</v>
      </c>
      <c r="X789" t="s">
        <v>10954</v>
      </c>
      <c r="Y789" t="s">
        <v>10955</v>
      </c>
      <c r="Z789" t="s">
        <v>10956</v>
      </c>
      <c r="AA789" t="s">
        <v>74</v>
      </c>
      <c r="AB789" t="s">
        <v>74</v>
      </c>
      <c r="AC789" t="s">
        <v>74</v>
      </c>
      <c r="AD789" t="s">
        <v>74</v>
      </c>
      <c r="AE789" t="s">
        <v>74</v>
      </c>
      <c r="AF789" t="s">
        <v>74</v>
      </c>
      <c r="AG789">
        <v>64</v>
      </c>
      <c r="AH789">
        <v>24</v>
      </c>
      <c r="AI789">
        <v>25</v>
      </c>
      <c r="AJ789">
        <v>0</v>
      </c>
      <c r="AK789">
        <v>11</v>
      </c>
      <c r="AL789" t="s">
        <v>806</v>
      </c>
      <c r="AM789" t="s">
        <v>807</v>
      </c>
      <c r="AN789" t="s">
        <v>808</v>
      </c>
      <c r="AO789" t="s">
        <v>10957</v>
      </c>
      <c r="AP789" t="s">
        <v>10958</v>
      </c>
      <c r="AQ789" t="s">
        <v>74</v>
      </c>
      <c r="AR789" t="s">
        <v>10959</v>
      </c>
      <c r="AS789" t="s">
        <v>10960</v>
      </c>
      <c r="AT789" t="s">
        <v>9785</v>
      </c>
      <c r="AU789">
        <v>2002</v>
      </c>
      <c r="AV789">
        <v>21</v>
      </c>
      <c r="AW789" t="s">
        <v>10961</v>
      </c>
      <c r="AX789" t="s">
        <v>74</v>
      </c>
      <c r="AY789" t="s">
        <v>74</v>
      </c>
      <c r="AZ789" t="s">
        <v>74</v>
      </c>
      <c r="BA789" t="s">
        <v>74</v>
      </c>
      <c r="BB789">
        <v>1821</v>
      </c>
      <c r="BC789">
        <v>1840</v>
      </c>
      <c r="BD789" t="s">
        <v>10962</v>
      </c>
      <c r="BE789" t="s">
        <v>10963</v>
      </c>
      <c r="BF789" t="str">
        <f>HYPERLINK("http://dx.doi.org/10.1016/S0277-3791(02)00008-2","http://dx.doi.org/10.1016/S0277-3791(02)00008-2")</f>
        <v>http://dx.doi.org/10.1016/S0277-3791(02)00008-2</v>
      </c>
      <c r="BG789" t="s">
        <v>74</v>
      </c>
      <c r="BH789" t="s">
        <v>74</v>
      </c>
      <c r="BI789">
        <v>20</v>
      </c>
      <c r="BJ789" t="s">
        <v>2348</v>
      </c>
      <c r="BK789" t="s">
        <v>569</v>
      </c>
      <c r="BL789" t="s">
        <v>2349</v>
      </c>
      <c r="BM789" t="s">
        <v>10964</v>
      </c>
      <c r="BN789" t="s">
        <v>74</v>
      </c>
      <c r="BO789" t="s">
        <v>74</v>
      </c>
      <c r="BP789" t="s">
        <v>74</v>
      </c>
      <c r="BQ789" t="s">
        <v>74</v>
      </c>
      <c r="BR789" t="s">
        <v>98</v>
      </c>
      <c r="BS789" t="s">
        <v>10965</v>
      </c>
      <c r="BT789" t="str">
        <f>HYPERLINK("https%3A%2F%2Fwww.webofscience.com%2Fwos%2Fwoscc%2Ffull-record%2FWOS:000178336200005","View Full Record in Web of Science")</f>
        <v>View Full Record in Web of Science</v>
      </c>
    </row>
    <row r="790" spans="1:72" x14ac:dyDescent="0.15">
      <c r="A790" t="s">
        <v>552</v>
      </c>
      <c r="B790" t="s">
        <v>2805</v>
      </c>
      <c r="C790" t="s">
        <v>74</v>
      </c>
      <c r="D790" t="s">
        <v>74</v>
      </c>
      <c r="E790" t="s">
        <v>74</v>
      </c>
      <c r="F790" t="s">
        <v>2805</v>
      </c>
      <c r="G790" t="s">
        <v>74</v>
      </c>
      <c r="H790" t="s">
        <v>74</v>
      </c>
      <c r="I790" t="s">
        <v>10966</v>
      </c>
      <c r="J790" t="s">
        <v>10950</v>
      </c>
      <c r="K790" t="s">
        <v>74</v>
      </c>
      <c r="L790" t="s">
        <v>74</v>
      </c>
      <c r="M790" t="s">
        <v>78</v>
      </c>
      <c r="N790" t="s">
        <v>775</v>
      </c>
      <c r="O790" t="s">
        <v>74</v>
      </c>
      <c r="P790" t="s">
        <v>74</v>
      </c>
      <c r="Q790" t="s">
        <v>74</v>
      </c>
      <c r="R790" t="s">
        <v>74</v>
      </c>
      <c r="S790" t="s">
        <v>74</v>
      </c>
      <c r="T790" t="s">
        <v>74</v>
      </c>
      <c r="U790" t="s">
        <v>10967</v>
      </c>
      <c r="V790" t="s">
        <v>10968</v>
      </c>
      <c r="W790" t="s">
        <v>2809</v>
      </c>
      <c r="X790" t="s">
        <v>2810</v>
      </c>
      <c r="Y790" t="s">
        <v>10969</v>
      </c>
      <c r="Z790" t="s">
        <v>2812</v>
      </c>
      <c r="AA790" t="s">
        <v>2813</v>
      </c>
      <c r="AB790" t="s">
        <v>74</v>
      </c>
      <c r="AC790" t="s">
        <v>74</v>
      </c>
      <c r="AD790" t="s">
        <v>74</v>
      </c>
      <c r="AE790" t="s">
        <v>74</v>
      </c>
      <c r="AF790" t="s">
        <v>74</v>
      </c>
      <c r="AG790">
        <v>59</v>
      </c>
      <c r="AH790">
        <v>171</v>
      </c>
      <c r="AI790">
        <v>186</v>
      </c>
      <c r="AJ790">
        <v>0</v>
      </c>
      <c r="AK790">
        <v>19</v>
      </c>
      <c r="AL790" t="s">
        <v>806</v>
      </c>
      <c r="AM790" t="s">
        <v>807</v>
      </c>
      <c r="AN790" t="s">
        <v>808</v>
      </c>
      <c r="AO790" t="s">
        <v>10957</v>
      </c>
      <c r="AP790" t="s">
        <v>74</v>
      </c>
      <c r="AQ790" t="s">
        <v>74</v>
      </c>
      <c r="AR790" t="s">
        <v>10959</v>
      </c>
      <c r="AS790" t="s">
        <v>10960</v>
      </c>
      <c r="AT790" t="s">
        <v>9785</v>
      </c>
      <c r="AU790">
        <v>2002</v>
      </c>
      <c r="AV790">
        <v>21</v>
      </c>
      <c r="AW790" t="s">
        <v>10961</v>
      </c>
      <c r="AX790" t="s">
        <v>74</v>
      </c>
      <c r="AY790" t="s">
        <v>74</v>
      </c>
      <c r="AZ790" t="s">
        <v>74</v>
      </c>
      <c r="BA790" t="s">
        <v>74</v>
      </c>
      <c r="BB790">
        <v>1879</v>
      </c>
      <c r="BC790">
        <v>1897</v>
      </c>
      <c r="BD790" t="s">
        <v>10970</v>
      </c>
      <c r="BE790" t="s">
        <v>10971</v>
      </c>
      <c r="BF790" t="str">
        <f>HYPERLINK("http://dx.doi.org/10.1016/S0277-3791(02)00006-9","http://dx.doi.org/10.1016/S0277-3791(02)00006-9")</f>
        <v>http://dx.doi.org/10.1016/S0277-3791(02)00006-9</v>
      </c>
      <c r="BG790" t="s">
        <v>74</v>
      </c>
      <c r="BH790" t="s">
        <v>74</v>
      </c>
      <c r="BI790">
        <v>19</v>
      </c>
      <c r="BJ790" t="s">
        <v>2348</v>
      </c>
      <c r="BK790" t="s">
        <v>569</v>
      </c>
      <c r="BL790" t="s">
        <v>2349</v>
      </c>
      <c r="BM790" t="s">
        <v>10964</v>
      </c>
      <c r="BN790" t="s">
        <v>74</v>
      </c>
      <c r="BO790" t="s">
        <v>74</v>
      </c>
      <c r="BP790" t="s">
        <v>74</v>
      </c>
      <c r="BQ790" t="s">
        <v>74</v>
      </c>
      <c r="BR790" t="s">
        <v>98</v>
      </c>
      <c r="BS790" t="s">
        <v>10972</v>
      </c>
      <c r="BT790" t="str">
        <f>HYPERLINK("https%3A%2F%2Fwww.webofscience.com%2Fwos%2Fwoscc%2Ffull-record%2FWOS:000178336200008","View Full Record in Web of Science")</f>
        <v>View Full Record in Web of Science</v>
      </c>
    </row>
    <row r="791" spans="1:72" x14ac:dyDescent="0.15">
      <c r="A791" t="s">
        <v>552</v>
      </c>
      <c r="B791" t="s">
        <v>10973</v>
      </c>
      <c r="C791" t="s">
        <v>74</v>
      </c>
      <c r="D791" t="s">
        <v>74</v>
      </c>
      <c r="E791" t="s">
        <v>74</v>
      </c>
      <c r="F791" t="s">
        <v>10973</v>
      </c>
      <c r="G791" t="s">
        <v>74</v>
      </c>
      <c r="H791" t="s">
        <v>74</v>
      </c>
      <c r="I791" t="s">
        <v>10974</v>
      </c>
      <c r="J791" t="s">
        <v>4712</v>
      </c>
      <c r="K791" t="s">
        <v>74</v>
      </c>
      <c r="L791" t="s">
        <v>74</v>
      </c>
      <c r="M791" t="s">
        <v>78</v>
      </c>
      <c r="N791" t="s">
        <v>775</v>
      </c>
      <c r="O791" t="s">
        <v>74</v>
      </c>
      <c r="P791" t="s">
        <v>74</v>
      </c>
      <c r="Q791" t="s">
        <v>74</v>
      </c>
      <c r="R791" t="s">
        <v>74</v>
      </c>
      <c r="S791" t="s">
        <v>74</v>
      </c>
      <c r="T791" t="s">
        <v>10975</v>
      </c>
      <c r="U791" t="s">
        <v>10976</v>
      </c>
      <c r="V791" t="s">
        <v>10977</v>
      </c>
      <c r="W791" t="s">
        <v>10978</v>
      </c>
      <c r="X791" t="s">
        <v>10072</v>
      </c>
      <c r="Y791" t="s">
        <v>10979</v>
      </c>
      <c r="Z791" t="s">
        <v>74</v>
      </c>
      <c r="AA791" t="s">
        <v>1583</v>
      </c>
      <c r="AB791" t="s">
        <v>1584</v>
      </c>
      <c r="AC791" t="s">
        <v>74</v>
      </c>
      <c r="AD791" t="s">
        <v>74</v>
      </c>
      <c r="AE791" t="s">
        <v>74</v>
      </c>
      <c r="AF791" t="s">
        <v>74</v>
      </c>
      <c r="AG791">
        <v>22</v>
      </c>
      <c r="AH791">
        <v>11</v>
      </c>
      <c r="AI791">
        <v>15</v>
      </c>
      <c r="AJ791">
        <v>1</v>
      </c>
      <c r="AK791">
        <v>10</v>
      </c>
      <c r="AL791" t="s">
        <v>4721</v>
      </c>
      <c r="AM791" t="s">
        <v>4722</v>
      </c>
      <c r="AN791" t="s">
        <v>4723</v>
      </c>
      <c r="AO791" t="s">
        <v>4724</v>
      </c>
      <c r="AP791" t="s">
        <v>74</v>
      </c>
      <c r="AQ791" t="s">
        <v>74</v>
      </c>
      <c r="AR791" t="s">
        <v>4725</v>
      </c>
      <c r="AS791" t="s">
        <v>4726</v>
      </c>
      <c r="AT791" t="s">
        <v>9785</v>
      </c>
      <c r="AU791">
        <v>2002</v>
      </c>
      <c r="AV791">
        <v>45</v>
      </c>
      <c r="AW791">
        <v>9</v>
      </c>
      <c r="AX791" t="s">
        <v>74</v>
      </c>
      <c r="AY791" t="s">
        <v>74</v>
      </c>
      <c r="AZ791" t="s">
        <v>74</v>
      </c>
      <c r="BA791" t="s">
        <v>74</v>
      </c>
      <c r="BB791">
        <v>842</v>
      </c>
      <c r="BC791">
        <v>850</v>
      </c>
      <c r="BD791" t="s">
        <v>74</v>
      </c>
      <c r="BE791" t="s">
        <v>10980</v>
      </c>
      <c r="BF791" t="str">
        <f>HYPERLINK("http://dx.doi.org/10.1007/BF02879518","http://dx.doi.org/10.1007/BF02879518")</f>
        <v>http://dx.doi.org/10.1007/BF02879518</v>
      </c>
      <c r="BG791" t="s">
        <v>74</v>
      </c>
      <c r="BH791" t="s">
        <v>74</v>
      </c>
      <c r="BI791">
        <v>9</v>
      </c>
      <c r="BJ791" t="s">
        <v>1813</v>
      </c>
      <c r="BK791" t="s">
        <v>569</v>
      </c>
      <c r="BL791" t="s">
        <v>1814</v>
      </c>
      <c r="BM791" t="s">
        <v>10981</v>
      </c>
      <c r="BN791" t="s">
        <v>74</v>
      </c>
      <c r="BO791" t="s">
        <v>74</v>
      </c>
      <c r="BP791" t="s">
        <v>74</v>
      </c>
      <c r="BQ791" t="s">
        <v>74</v>
      </c>
      <c r="BR791" t="s">
        <v>98</v>
      </c>
      <c r="BS791" t="s">
        <v>10982</v>
      </c>
      <c r="BT791" t="str">
        <f>HYPERLINK("https%3A%2F%2Fwww.webofscience.com%2Fwos%2Fwoscc%2Ffull-record%2FWOS:000177545700007","View Full Record in Web of Science")</f>
        <v>View Full Record in Web of Science</v>
      </c>
    </row>
    <row r="792" spans="1:72" x14ac:dyDescent="0.15">
      <c r="A792" t="s">
        <v>552</v>
      </c>
      <c r="B792" t="s">
        <v>10983</v>
      </c>
      <c r="C792" t="s">
        <v>74</v>
      </c>
      <c r="D792" t="s">
        <v>74</v>
      </c>
      <c r="E792" t="s">
        <v>74</v>
      </c>
      <c r="F792" t="s">
        <v>10983</v>
      </c>
      <c r="G792" t="s">
        <v>74</v>
      </c>
      <c r="H792" t="s">
        <v>74</v>
      </c>
      <c r="I792" t="s">
        <v>10984</v>
      </c>
      <c r="J792" t="s">
        <v>10985</v>
      </c>
      <c r="K792" t="s">
        <v>74</v>
      </c>
      <c r="L792" t="s">
        <v>74</v>
      </c>
      <c r="M792" t="s">
        <v>78</v>
      </c>
      <c r="N792" t="s">
        <v>775</v>
      </c>
      <c r="O792" t="s">
        <v>74</v>
      </c>
      <c r="P792" t="s">
        <v>74</v>
      </c>
      <c r="Q792" t="s">
        <v>74</v>
      </c>
      <c r="R792" t="s">
        <v>74</v>
      </c>
      <c r="S792" t="s">
        <v>74</v>
      </c>
      <c r="T792" t="s">
        <v>74</v>
      </c>
      <c r="U792" t="s">
        <v>10986</v>
      </c>
      <c r="V792" t="s">
        <v>10987</v>
      </c>
      <c r="W792" t="s">
        <v>10988</v>
      </c>
      <c r="X792" t="s">
        <v>10989</v>
      </c>
      <c r="Y792" t="s">
        <v>10990</v>
      </c>
      <c r="Z792" t="s">
        <v>10991</v>
      </c>
      <c r="AA792" t="s">
        <v>10992</v>
      </c>
      <c r="AB792" t="s">
        <v>10993</v>
      </c>
      <c r="AC792" t="s">
        <v>74</v>
      </c>
      <c r="AD792" t="s">
        <v>74</v>
      </c>
      <c r="AE792" t="s">
        <v>74</v>
      </c>
      <c r="AF792" t="s">
        <v>74</v>
      </c>
      <c r="AG792">
        <v>39</v>
      </c>
      <c r="AH792">
        <v>17</v>
      </c>
      <c r="AI792">
        <v>18</v>
      </c>
      <c r="AJ792">
        <v>0</v>
      </c>
      <c r="AK792">
        <v>5</v>
      </c>
      <c r="AL792" t="s">
        <v>2060</v>
      </c>
      <c r="AM792" t="s">
        <v>2061</v>
      </c>
      <c r="AN792" t="s">
        <v>2062</v>
      </c>
      <c r="AO792" t="s">
        <v>10994</v>
      </c>
      <c r="AP792" t="s">
        <v>74</v>
      </c>
      <c r="AQ792" t="s">
        <v>74</v>
      </c>
      <c r="AR792" t="s">
        <v>10995</v>
      </c>
      <c r="AS792" t="s">
        <v>10996</v>
      </c>
      <c r="AT792" t="s">
        <v>9785</v>
      </c>
      <c r="AU792">
        <v>2002</v>
      </c>
      <c r="AV792">
        <v>54</v>
      </c>
      <c r="AW792">
        <v>4</v>
      </c>
      <c r="AX792" t="s">
        <v>74</v>
      </c>
      <c r="AY792" t="s">
        <v>74</v>
      </c>
      <c r="AZ792" t="s">
        <v>74</v>
      </c>
      <c r="BA792" t="s">
        <v>74</v>
      </c>
      <c r="BB792">
        <v>377</v>
      </c>
      <c r="BC792">
        <v>394</v>
      </c>
      <c r="BD792" t="s">
        <v>74</v>
      </c>
      <c r="BE792" t="s">
        <v>10997</v>
      </c>
      <c r="BF792" t="str">
        <f>HYPERLINK("http://dx.doi.org/10.1034/j.1600-0889.2002.01318.x","http://dx.doi.org/10.1034/j.1600-0889.2002.01318.x")</f>
        <v>http://dx.doi.org/10.1034/j.1600-0889.2002.01318.x</v>
      </c>
      <c r="BG792" t="s">
        <v>74</v>
      </c>
      <c r="BH792" t="s">
        <v>74</v>
      </c>
      <c r="BI792">
        <v>18</v>
      </c>
      <c r="BJ792" t="s">
        <v>1237</v>
      </c>
      <c r="BK792" t="s">
        <v>569</v>
      </c>
      <c r="BL792" t="s">
        <v>1237</v>
      </c>
      <c r="BM792" t="s">
        <v>10998</v>
      </c>
      <c r="BN792" t="s">
        <v>74</v>
      </c>
      <c r="BO792" t="s">
        <v>10999</v>
      </c>
      <c r="BP792" t="s">
        <v>74</v>
      </c>
      <c r="BQ792" t="s">
        <v>74</v>
      </c>
      <c r="BR792" t="s">
        <v>98</v>
      </c>
      <c r="BS792" t="s">
        <v>11000</v>
      </c>
      <c r="BT792" t="str">
        <f>HYPERLINK("https%3A%2F%2Fwww.webofscience.com%2Fwos%2Fwoscc%2Ffull-record%2FWOS:000178186400006","View Full Record in Web of Science")</f>
        <v>View Full Record in Web of Science</v>
      </c>
    </row>
    <row r="793" spans="1:72" x14ac:dyDescent="0.15">
      <c r="A793" t="s">
        <v>552</v>
      </c>
      <c r="B793" t="s">
        <v>11001</v>
      </c>
      <c r="C793" t="s">
        <v>74</v>
      </c>
      <c r="D793" t="s">
        <v>74</v>
      </c>
      <c r="E793" t="s">
        <v>74</v>
      </c>
      <c r="F793" t="s">
        <v>11001</v>
      </c>
      <c r="G793" t="s">
        <v>74</v>
      </c>
      <c r="H793" t="s">
        <v>74</v>
      </c>
      <c r="I793" t="s">
        <v>11002</v>
      </c>
      <c r="J793" t="s">
        <v>10985</v>
      </c>
      <c r="K793" t="s">
        <v>74</v>
      </c>
      <c r="L793" t="s">
        <v>74</v>
      </c>
      <c r="M793" t="s">
        <v>78</v>
      </c>
      <c r="N793" t="s">
        <v>775</v>
      </c>
      <c r="O793" t="s">
        <v>74</v>
      </c>
      <c r="P793" t="s">
        <v>74</v>
      </c>
      <c r="Q793" t="s">
        <v>74</v>
      </c>
      <c r="R793" t="s">
        <v>74</v>
      </c>
      <c r="S793" t="s">
        <v>74</v>
      </c>
      <c r="T793" t="s">
        <v>74</v>
      </c>
      <c r="U793" t="s">
        <v>74</v>
      </c>
      <c r="V793" t="s">
        <v>11003</v>
      </c>
      <c r="W793" t="s">
        <v>11004</v>
      </c>
      <c r="X793" t="s">
        <v>11005</v>
      </c>
      <c r="Y793" t="s">
        <v>11006</v>
      </c>
      <c r="Z793" t="s">
        <v>11007</v>
      </c>
      <c r="AA793" t="s">
        <v>11008</v>
      </c>
      <c r="AB793" t="s">
        <v>11009</v>
      </c>
      <c r="AC793" t="s">
        <v>74</v>
      </c>
      <c r="AD793" t="s">
        <v>74</v>
      </c>
      <c r="AE793" t="s">
        <v>74</v>
      </c>
      <c r="AF793" t="s">
        <v>74</v>
      </c>
      <c r="AG793">
        <v>17</v>
      </c>
      <c r="AH793">
        <v>26</v>
      </c>
      <c r="AI793">
        <v>31</v>
      </c>
      <c r="AJ793">
        <v>0</v>
      </c>
      <c r="AK793">
        <v>7</v>
      </c>
      <c r="AL793" t="s">
        <v>2060</v>
      </c>
      <c r="AM793" t="s">
        <v>2061</v>
      </c>
      <c r="AN793" t="s">
        <v>2062</v>
      </c>
      <c r="AO793" t="s">
        <v>10994</v>
      </c>
      <c r="AP793" t="s">
        <v>74</v>
      </c>
      <c r="AQ793" t="s">
        <v>74</v>
      </c>
      <c r="AR793" t="s">
        <v>10995</v>
      </c>
      <c r="AS793" t="s">
        <v>10996</v>
      </c>
      <c r="AT793" t="s">
        <v>9785</v>
      </c>
      <c r="AU793">
        <v>2002</v>
      </c>
      <c r="AV793">
        <v>54</v>
      </c>
      <c r="AW793">
        <v>4</v>
      </c>
      <c r="AX793" t="s">
        <v>74</v>
      </c>
      <c r="AY793" t="s">
        <v>74</v>
      </c>
      <c r="AZ793" t="s">
        <v>74</v>
      </c>
      <c r="BA793" t="s">
        <v>74</v>
      </c>
      <c r="BB793">
        <v>407</v>
      </c>
      <c r="BC793">
        <v>411</v>
      </c>
      <c r="BD793" t="s">
        <v>74</v>
      </c>
      <c r="BE793" t="s">
        <v>11010</v>
      </c>
      <c r="BF793" t="str">
        <f>HYPERLINK("http://dx.doi.org/10.1034/j.1600-0889.2002.201362.x","http://dx.doi.org/10.1034/j.1600-0889.2002.201362.x")</f>
        <v>http://dx.doi.org/10.1034/j.1600-0889.2002.201362.x</v>
      </c>
      <c r="BG793" t="s">
        <v>74</v>
      </c>
      <c r="BH793" t="s">
        <v>74</v>
      </c>
      <c r="BI793">
        <v>5</v>
      </c>
      <c r="BJ793" t="s">
        <v>1237</v>
      </c>
      <c r="BK793" t="s">
        <v>569</v>
      </c>
      <c r="BL793" t="s">
        <v>1237</v>
      </c>
      <c r="BM793" t="s">
        <v>10998</v>
      </c>
      <c r="BN793" t="s">
        <v>74</v>
      </c>
      <c r="BO793" t="s">
        <v>2660</v>
      </c>
      <c r="BP793" t="s">
        <v>74</v>
      </c>
      <c r="BQ793" t="s">
        <v>74</v>
      </c>
      <c r="BR793" t="s">
        <v>98</v>
      </c>
      <c r="BS793" t="s">
        <v>11011</v>
      </c>
      <c r="BT793" t="str">
        <f>HYPERLINK("https%3A%2F%2Fwww.webofscience.com%2Fwos%2Fwoscc%2Ffull-record%2FWOS:000178186400008","View Full Record in Web of Science")</f>
        <v>View Full Record in Web of Science</v>
      </c>
    </row>
    <row r="794" spans="1:72" x14ac:dyDescent="0.15">
      <c r="A794" t="s">
        <v>552</v>
      </c>
      <c r="B794" t="s">
        <v>11012</v>
      </c>
      <c r="C794" t="s">
        <v>74</v>
      </c>
      <c r="D794" t="s">
        <v>74</v>
      </c>
      <c r="E794" t="s">
        <v>74</v>
      </c>
      <c r="F794" t="s">
        <v>11012</v>
      </c>
      <c r="G794" t="s">
        <v>74</v>
      </c>
      <c r="H794" t="s">
        <v>74</v>
      </c>
      <c r="I794" t="s">
        <v>11013</v>
      </c>
      <c r="J794" t="s">
        <v>5162</v>
      </c>
      <c r="K794" t="s">
        <v>74</v>
      </c>
      <c r="L794" t="s">
        <v>74</v>
      </c>
      <c r="M794" t="s">
        <v>78</v>
      </c>
      <c r="N794" t="s">
        <v>775</v>
      </c>
      <c r="O794" t="s">
        <v>74</v>
      </c>
      <c r="P794" t="s">
        <v>74</v>
      </c>
      <c r="Q794" t="s">
        <v>74</v>
      </c>
      <c r="R794" t="s">
        <v>74</v>
      </c>
      <c r="S794" t="s">
        <v>74</v>
      </c>
      <c r="T794" t="s">
        <v>74</v>
      </c>
      <c r="U794" t="s">
        <v>11014</v>
      </c>
      <c r="V794" t="s">
        <v>11015</v>
      </c>
      <c r="W794" t="s">
        <v>11016</v>
      </c>
      <c r="X794" t="s">
        <v>11017</v>
      </c>
      <c r="Y794" t="s">
        <v>11018</v>
      </c>
      <c r="Z794" t="s">
        <v>11019</v>
      </c>
      <c r="AA794" t="s">
        <v>11020</v>
      </c>
      <c r="AB794" t="s">
        <v>11021</v>
      </c>
      <c r="AC794" t="s">
        <v>74</v>
      </c>
      <c r="AD794" t="s">
        <v>74</v>
      </c>
      <c r="AE794" t="s">
        <v>74</v>
      </c>
      <c r="AF794" t="s">
        <v>74</v>
      </c>
      <c r="AG794">
        <v>16</v>
      </c>
      <c r="AH794">
        <v>26</v>
      </c>
      <c r="AI794">
        <v>27</v>
      </c>
      <c r="AJ794">
        <v>0</v>
      </c>
      <c r="AK794">
        <v>5</v>
      </c>
      <c r="AL794" t="s">
        <v>387</v>
      </c>
      <c r="AM794" t="s">
        <v>388</v>
      </c>
      <c r="AN794" t="s">
        <v>389</v>
      </c>
      <c r="AO794" t="s">
        <v>5169</v>
      </c>
      <c r="AP794" t="s">
        <v>5170</v>
      </c>
      <c r="AQ794" t="s">
        <v>74</v>
      </c>
      <c r="AR794" t="s">
        <v>5171</v>
      </c>
      <c r="AS794" t="s">
        <v>5172</v>
      </c>
      <c r="AT794" t="s">
        <v>11022</v>
      </c>
      <c r="AU794">
        <v>2002</v>
      </c>
      <c r="AV794">
        <v>29</v>
      </c>
      <c r="AW794">
        <v>16</v>
      </c>
      <c r="AX794" t="s">
        <v>74</v>
      </c>
      <c r="AY794" t="s">
        <v>74</v>
      </c>
      <c r="AZ794" t="s">
        <v>74</v>
      </c>
      <c r="BA794" t="s">
        <v>74</v>
      </c>
      <c r="BB794" t="s">
        <v>74</v>
      </c>
      <c r="BC794" t="s">
        <v>74</v>
      </c>
      <c r="BD794">
        <v>1811</v>
      </c>
      <c r="BE794" t="s">
        <v>11023</v>
      </c>
      <c r="BF794" t="str">
        <f>HYPERLINK("http://dx.doi.org/10.1029/2002GL015221","http://dx.doi.org/10.1029/2002GL015221")</f>
        <v>http://dx.doi.org/10.1029/2002GL015221</v>
      </c>
      <c r="BG794" t="s">
        <v>74</v>
      </c>
      <c r="BH794" t="s">
        <v>74</v>
      </c>
      <c r="BI794">
        <v>4</v>
      </c>
      <c r="BJ794" t="s">
        <v>1813</v>
      </c>
      <c r="BK794" t="s">
        <v>569</v>
      </c>
      <c r="BL794" t="s">
        <v>1814</v>
      </c>
      <c r="BM794" t="s">
        <v>11024</v>
      </c>
      <c r="BN794" t="s">
        <v>74</v>
      </c>
      <c r="BO794" t="s">
        <v>572</v>
      </c>
      <c r="BP794" t="s">
        <v>74</v>
      </c>
      <c r="BQ794" t="s">
        <v>74</v>
      </c>
      <c r="BR794" t="s">
        <v>98</v>
      </c>
      <c r="BS794" t="s">
        <v>11025</v>
      </c>
      <c r="BT794" t="str">
        <f>HYPERLINK("https%3A%2F%2Fwww.webofscience.com%2Fwos%2Fwoscc%2Ffull-record%2FWOS:000179634100002","View Full Record in Web of Science")</f>
        <v>View Full Record in Web of Science</v>
      </c>
    </row>
    <row r="795" spans="1:72" x14ac:dyDescent="0.15">
      <c r="A795" t="s">
        <v>552</v>
      </c>
      <c r="B795" t="s">
        <v>11026</v>
      </c>
      <c r="C795" t="s">
        <v>74</v>
      </c>
      <c r="D795" t="s">
        <v>74</v>
      </c>
      <c r="E795" t="s">
        <v>74</v>
      </c>
      <c r="F795" t="s">
        <v>11026</v>
      </c>
      <c r="G795" t="s">
        <v>74</v>
      </c>
      <c r="H795" t="s">
        <v>74</v>
      </c>
      <c r="I795" t="s">
        <v>11027</v>
      </c>
      <c r="J795" t="s">
        <v>5111</v>
      </c>
      <c r="K795" t="s">
        <v>74</v>
      </c>
      <c r="L795" t="s">
        <v>74</v>
      </c>
      <c r="M795" t="s">
        <v>78</v>
      </c>
      <c r="N795" t="s">
        <v>775</v>
      </c>
      <c r="O795" t="s">
        <v>74</v>
      </c>
      <c r="P795" t="s">
        <v>74</v>
      </c>
      <c r="Q795" t="s">
        <v>74</v>
      </c>
      <c r="R795" t="s">
        <v>74</v>
      </c>
      <c r="S795" t="s">
        <v>74</v>
      </c>
      <c r="T795" t="s">
        <v>11028</v>
      </c>
      <c r="U795" t="s">
        <v>11029</v>
      </c>
      <c r="V795" t="s">
        <v>11030</v>
      </c>
      <c r="W795" t="s">
        <v>11031</v>
      </c>
      <c r="X795" t="s">
        <v>11032</v>
      </c>
      <c r="Y795" t="s">
        <v>1479</v>
      </c>
      <c r="Z795" t="s">
        <v>11033</v>
      </c>
      <c r="AA795" t="s">
        <v>74</v>
      </c>
      <c r="AB795" t="s">
        <v>74</v>
      </c>
      <c r="AC795" t="s">
        <v>74</v>
      </c>
      <c r="AD795" t="s">
        <v>74</v>
      </c>
      <c r="AE795" t="s">
        <v>74</v>
      </c>
      <c r="AF795" t="s">
        <v>74</v>
      </c>
      <c r="AG795">
        <v>42</v>
      </c>
      <c r="AH795">
        <v>205</v>
      </c>
      <c r="AI795">
        <v>221</v>
      </c>
      <c r="AJ795">
        <v>0</v>
      </c>
      <c r="AK795">
        <v>46</v>
      </c>
      <c r="AL795" t="s">
        <v>387</v>
      </c>
      <c r="AM795" t="s">
        <v>388</v>
      </c>
      <c r="AN795" t="s">
        <v>389</v>
      </c>
      <c r="AO795" t="s">
        <v>5120</v>
      </c>
      <c r="AP795" t="s">
        <v>5121</v>
      </c>
      <c r="AQ795" t="s">
        <v>74</v>
      </c>
      <c r="AR795" t="s">
        <v>5122</v>
      </c>
      <c r="AS795" t="s">
        <v>5123</v>
      </c>
      <c r="AT795" t="s">
        <v>11022</v>
      </c>
      <c r="AU795">
        <v>2002</v>
      </c>
      <c r="AV795">
        <v>107</v>
      </c>
      <c r="AW795" t="s">
        <v>11034</v>
      </c>
      <c r="AX795" t="s">
        <v>74</v>
      </c>
      <c r="AY795" t="s">
        <v>74</v>
      </c>
      <c r="AZ795" t="s">
        <v>74</v>
      </c>
      <c r="BA795" t="s">
        <v>74</v>
      </c>
      <c r="BB795" t="s">
        <v>74</v>
      </c>
      <c r="BC795" t="s">
        <v>74</v>
      </c>
      <c r="BD795">
        <v>3122</v>
      </c>
      <c r="BE795" t="s">
        <v>11035</v>
      </c>
      <c r="BF795" t="str">
        <f>HYPERLINK("http://dx.doi.org/10.1029/2001JC000976","http://dx.doi.org/10.1029/2001JC000976")</f>
        <v>http://dx.doi.org/10.1029/2001JC000976</v>
      </c>
      <c r="BG795" t="s">
        <v>74</v>
      </c>
      <c r="BH795" t="s">
        <v>74</v>
      </c>
      <c r="BI795">
        <v>17</v>
      </c>
      <c r="BJ795" t="s">
        <v>1394</v>
      </c>
      <c r="BK795" t="s">
        <v>569</v>
      </c>
      <c r="BL795" t="s">
        <v>1394</v>
      </c>
      <c r="BM795" t="s">
        <v>11036</v>
      </c>
      <c r="BN795" t="s">
        <v>74</v>
      </c>
      <c r="BO795" t="s">
        <v>572</v>
      </c>
      <c r="BP795" t="s">
        <v>74</v>
      </c>
      <c r="BQ795" t="s">
        <v>74</v>
      </c>
      <c r="BR795" t="s">
        <v>98</v>
      </c>
      <c r="BS795" t="s">
        <v>11037</v>
      </c>
      <c r="BT795" t="str">
        <f>HYPERLINK("https%3A%2F%2Fwww.webofscience.com%2Fwos%2Fwoscc%2Ffull-record%2FWOS:000180312800003","View Full Record in Web of Science")</f>
        <v>View Full Record in Web of Science</v>
      </c>
    </row>
    <row r="796" spans="1:72" x14ac:dyDescent="0.15">
      <c r="A796" t="s">
        <v>552</v>
      </c>
      <c r="B796" t="s">
        <v>11038</v>
      </c>
      <c r="C796" t="s">
        <v>74</v>
      </c>
      <c r="D796" t="s">
        <v>74</v>
      </c>
      <c r="E796" t="s">
        <v>74</v>
      </c>
      <c r="F796" t="s">
        <v>11038</v>
      </c>
      <c r="G796" t="s">
        <v>74</v>
      </c>
      <c r="H796" t="s">
        <v>74</v>
      </c>
      <c r="I796" t="s">
        <v>11039</v>
      </c>
      <c r="J796" t="s">
        <v>5111</v>
      </c>
      <c r="K796" t="s">
        <v>74</v>
      </c>
      <c r="L796" t="s">
        <v>74</v>
      </c>
      <c r="M796" t="s">
        <v>78</v>
      </c>
      <c r="N796" t="s">
        <v>775</v>
      </c>
      <c r="O796" t="s">
        <v>74</v>
      </c>
      <c r="P796" t="s">
        <v>74</v>
      </c>
      <c r="Q796" t="s">
        <v>74</v>
      </c>
      <c r="R796" t="s">
        <v>74</v>
      </c>
      <c r="S796" t="s">
        <v>74</v>
      </c>
      <c r="T796" t="s">
        <v>11040</v>
      </c>
      <c r="U796" t="s">
        <v>11041</v>
      </c>
      <c r="V796" t="s">
        <v>11042</v>
      </c>
      <c r="W796" t="s">
        <v>11043</v>
      </c>
      <c r="X796" t="s">
        <v>11044</v>
      </c>
      <c r="Y796" t="s">
        <v>11045</v>
      </c>
      <c r="Z796" t="s">
        <v>11046</v>
      </c>
      <c r="AA796" t="s">
        <v>11047</v>
      </c>
      <c r="AB796" t="s">
        <v>11048</v>
      </c>
      <c r="AC796" t="s">
        <v>74</v>
      </c>
      <c r="AD796" t="s">
        <v>74</v>
      </c>
      <c r="AE796" t="s">
        <v>74</v>
      </c>
      <c r="AF796" t="s">
        <v>74</v>
      </c>
      <c r="AG796">
        <v>59</v>
      </c>
      <c r="AH796">
        <v>79</v>
      </c>
      <c r="AI796">
        <v>88</v>
      </c>
      <c r="AJ796">
        <v>1</v>
      </c>
      <c r="AK796">
        <v>9</v>
      </c>
      <c r="AL796" t="s">
        <v>387</v>
      </c>
      <c r="AM796" t="s">
        <v>388</v>
      </c>
      <c r="AN796" t="s">
        <v>389</v>
      </c>
      <c r="AO796" t="s">
        <v>5120</v>
      </c>
      <c r="AP796" t="s">
        <v>5121</v>
      </c>
      <c r="AQ796" t="s">
        <v>74</v>
      </c>
      <c r="AR796" t="s">
        <v>5122</v>
      </c>
      <c r="AS796" t="s">
        <v>5123</v>
      </c>
      <c r="AT796" t="s">
        <v>11049</v>
      </c>
      <c r="AU796">
        <v>2002</v>
      </c>
      <c r="AV796">
        <v>107</v>
      </c>
      <c r="AW796" t="s">
        <v>10447</v>
      </c>
      <c r="AX796" t="s">
        <v>74</v>
      </c>
      <c r="AY796" t="s">
        <v>74</v>
      </c>
      <c r="AZ796" t="s">
        <v>74</v>
      </c>
      <c r="BA796" t="s">
        <v>74</v>
      </c>
      <c r="BB796" t="s">
        <v>74</v>
      </c>
      <c r="BC796" t="s">
        <v>74</v>
      </c>
      <c r="BD796">
        <v>8033</v>
      </c>
      <c r="BE796" t="s">
        <v>11050</v>
      </c>
      <c r="BF796" t="str">
        <f>HYPERLINK("http://dx.doi.org/10.1029/2000JC000411","http://dx.doi.org/10.1029/2000JC000411")</f>
        <v>http://dx.doi.org/10.1029/2000JC000411</v>
      </c>
      <c r="BG796" t="s">
        <v>74</v>
      </c>
      <c r="BH796" t="s">
        <v>74</v>
      </c>
      <c r="BI796">
        <v>15</v>
      </c>
      <c r="BJ796" t="s">
        <v>1394</v>
      </c>
      <c r="BK796" t="s">
        <v>569</v>
      </c>
      <c r="BL796" t="s">
        <v>1394</v>
      </c>
      <c r="BM796" t="s">
        <v>11051</v>
      </c>
      <c r="BN796" t="s">
        <v>74</v>
      </c>
      <c r="BO796" t="s">
        <v>74</v>
      </c>
      <c r="BP796" t="s">
        <v>74</v>
      </c>
      <c r="BQ796" t="s">
        <v>74</v>
      </c>
      <c r="BR796" t="s">
        <v>98</v>
      </c>
      <c r="BS796" t="s">
        <v>11052</v>
      </c>
      <c r="BT796" t="str">
        <f>HYPERLINK("https%3A%2F%2Fwww.webofscience.com%2Fwos%2Fwoscc%2Ffull-record%2FWOS:000180311700004","View Full Record in Web of Science")</f>
        <v>View Full Record in Web of Science</v>
      </c>
    </row>
    <row r="797" spans="1:72" x14ac:dyDescent="0.15">
      <c r="A797" t="s">
        <v>552</v>
      </c>
      <c r="B797" t="s">
        <v>11053</v>
      </c>
      <c r="C797" t="s">
        <v>74</v>
      </c>
      <c r="D797" t="s">
        <v>74</v>
      </c>
      <c r="E797" t="s">
        <v>74</v>
      </c>
      <c r="F797" t="s">
        <v>11053</v>
      </c>
      <c r="G797" t="s">
        <v>74</v>
      </c>
      <c r="H797" t="s">
        <v>74</v>
      </c>
      <c r="I797" t="s">
        <v>11054</v>
      </c>
      <c r="J797" t="s">
        <v>8208</v>
      </c>
      <c r="K797" t="s">
        <v>74</v>
      </c>
      <c r="L797" t="s">
        <v>74</v>
      </c>
      <c r="M797" t="s">
        <v>78</v>
      </c>
      <c r="N797" t="s">
        <v>1114</v>
      </c>
      <c r="O797" t="s">
        <v>74</v>
      </c>
      <c r="P797" t="s">
        <v>74</v>
      </c>
      <c r="Q797" t="s">
        <v>74</v>
      </c>
      <c r="R797" t="s">
        <v>74</v>
      </c>
      <c r="S797" t="s">
        <v>74</v>
      </c>
      <c r="T797" t="s">
        <v>74</v>
      </c>
      <c r="U797" t="s">
        <v>11055</v>
      </c>
      <c r="V797" t="s">
        <v>11056</v>
      </c>
      <c r="W797" t="s">
        <v>11057</v>
      </c>
      <c r="X797" t="s">
        <v>11058</v>
      </c>
      <c r="Y797" t="s">
        <v>11059</v>
      </c>
      <c r="Z797" t="s">
        <v>11060</v>
      </c>
      <c r="AA797" t="s">
        <v>11061</v>
      </c>
      <c r="AB797" t="s">
        <v>11062</v>
      </c>
      <c r="AC797" t="s">
        <v>74</v>
      </c>
      <c r="AD797" t="s">
        <v>74</v>
      </c>
      <c r="AE797" t="s">
        <v>74</v>
      </c>
      <c r="AF797" t="s">
        <v>74</v>
      </c>
      <c r="AG797">
        <v>54</v>
      </c>
      <c r="AH797">
        <v>314</v>
      </c>
      <c r="AI797">
        <v>374</v>
      </c>
      <c r="AJ797">
        <v>0</v>
      </c>
      <c r="AK797">
        <v>117</v>
      </c>
      <c r="AL797" t="s">
        <v>8212</v>
      </c>
      <c r="AM797" t="s">
        <v>388</v>
      </c>
      <c r="AN797" t="s">
        <v>8213</v>
      </c>
      <c r="AO797" t="s">
        <v>8214</v>
      </c>
      <c r="AP797" t="s">
        <v>11063</v>
      </c>
      <c r="AQ797" t="s">
        <v>74</v>
      </c>
      <c r="AR797" t="s">
        <v>8208</v>
      </c>
      <c r="AS797" t="s">
        <v>8215</v>
      </c>
      <c r="AT797" t="s">
        <v>11049</v>
      </c>
      <c r="AU797">
        <v>2002</v>
      </c>
      <c r="AV797">
        <v>297</v>
      </c>
      <c r="AW797">
        <v>5586</v>
      </c>
      <c r="AX797" t="s">
        <v>74</v>
      </c>
      <c r="AY797" t="s">
        <v>74</v>
      </c>
      <c r="AZ797" t="s">
        <v>74</v>
      </c>
      <c r="BA797" t="s">
        <v>74</v>
      </c>
      <c r="BB797">
        <v>1502</v>
      </c>
      <c r="BC797">
        <v>1506</v>
      </c>
      <c r="BD797" t="s">
        <v>74</v>
      </c>
      <c r="BE797" t="s">
        <v>11064</v>
      </c>
      <c r="BF797" t="str">
        <f>HYPERLINK("http://dx.doi.org/10.1126/science.1073888","http://dx.doi.org/10.1126/science.1073888")</f>
        <v>http://dx.doi.org/10.1126/science.1073888</v>
      </c>
      <c r="BG797" t="s">
        <v>74</v>
      </c>
      <c r="BH797" t="s">
        <v>74</v>
      </c>
      <c r="BI797">
        <v>5</v>
      </c>
      <c r="BJ797" t="s">
        <v>5596</v>
      </c>
      <c r="BK797" t="s">
        <v>569</v>
      </c>
      <c r="BL797" t="s">
        <v>5597</v>
      </c>
      <c r="BM797" t="s">
        <v>11065</v>
      </c>
      <c r="BN797">
        <v>12202817</v>
      </c>
      <c r="BO797" t="s">
        <v>590</v>
      </c>
      <c r="BP797" t="s">
        <v>74</v>
      </c>
      <c r="BQ797" t="s">
        <v>74</v>
      </c>
      <c r="BR797" t="s">
        <v>98</v>
      </c>
      <c r="BS797" t="s">
        <v>11066</v>
      </c>
      <c r="BT797" t="str">
        <f>HYPERLINK("https%3A%2F%2Fwww.webofscience.com%2Fwos%2Fwoscc%2Ffull-record%2FWOS:000177697300043","View Full Record in Web of Science")</f>
        <v>View Full Record in Web of Science</v>
      </c>
    </row>
    <row r="798" spans="1:72" x14ac:dyDescent="0.15">
      <c r="A798" t="s">
        <v>552</v>
      </c>
      <c r="B798" t="s">
        <v>11067</v>
      </c>
      <c r="C798" t="s">
        <v>74</v>
      </c>
      <c r="D798" t="s">
        <v>74</v>
      </c>
      <c r="E798" t="s">
        <v>74</v>
      </c>
      <c r="F798" t="s">
        <v>11067</v>
      </c>
      <c r="G798" t="s">
        <v>74</v>
      </c>
      <c r="H798" t="s">
        <v>74</v>
      </c>
      <c r="I798" t="s">
        <v>11068</v>
      </c>
      <c r="J798" t="s">
        <v>8208</v>
      </c>
      <c r="K798" t="s">
        <v>74</v>
      </c>
      <c r="L798" t="s">
        <v>74</v>
      </c>
      <c r="M798" t="s">
        <v>78</v>
      </c>
      <c r="N798" t="s">
        <v>1114</v>
      </c>
      <c r="O798" t="s">
        <v>74</v>
      </c>
      <c r="P798" t="s">
        <v>74</v>
      </c>
      <c r="Q798" t="s">
        <v>74</v>
      </c>
      <c r="R798" t="s">
        <v>74</v>
      </c>
      <c r="S798" t="s">
        <v>74</v>
      </c>
      <c r="T798" t="s">
        <v>74</v>
      </c>
      <c r="U798" t="s">
        <v>11069</v>
      </c>
      <c r="V798" t="s">
        <v>11070</v>
      </c>
      <c r="W798" t="s">
        <v>238</v>
      </c>
      <c r="X798" t="s">
        <v>239</v>
      </c>
      <c r="Y798" t="s">
        <v>240</v>
      </c>
      <c r="Z798" t="s">
        <v>11071</v>
      </c>
      <c r="AA798" t="s">
        <v>5293</v>
      </c>
      <c r="AB798" t="s">
        <v>74</v>
      </c>
      <c r="AC798" t="s">
        <v>74</v>
      </c>
      <c r="AD798" t="s">
        <v>74</v>
      </c>
      <c r="AE798" t="s">
        <v>74</v>
      </c>
      <c r="AF798" t="s">
        <v>74</v>
      </c>
      <c r="AG798">
        <v>36</v>
      </c>
      <c r="AH798">
        <v>335</v>
      </c>
      <c r="AI798">
        <v>383</v>
      </c>
      <c r="AJ798">
        <v>4</v>
      </c>
      <c r="AK798">
        <v>279</v>
      </c>
      <c r="AL798" t="s">
        <v>8212</v>
      </c>
      <c r="AM798" t="s">
        <v>388</v>
      </c>
      <c r="AN798" t="s">
        <v>8213</v>
      </c>
      <c r="AO798" t="s">
        <v>8214</v>
      </c>
      <c r="AP798" t="s">
        <v>11063</v>
      </c>
      <c r="AQ798" t="s">
        <v>74</v>
      </c>
      <c r="AR798" t="s">
        <v>8208</v>
      </c>
      <c r="AS798" t="s">
        <v>8215</v>
      </c>
      <c r="AT798" t="s">
        <v>11049</v>
      </c>
      <c r="AU798">
        <v>2002</v>
      </c>
      <c r="AV798">
        <v>297</v>
      </c>
      <c r="AW798">
        <v>5586</v>
      </c>
      <c r="AX798" t="s">
        <v>74</v>
      </c>
      <c r="AY798" t="s">
        <v>74</v>
      </c>
      <c r="AZ798" t="s">
        <v>74</v>
      </c>
      <c r="BA798" t="s">
        <v>74</v>
      </c>
      <c r="BB798">
        <v>1510</v>
      </c>
      <c r="BC798">
        <v>1514</v>
      </c>
      <c r="BD798" t="s">
        <v>74</v>
      </c>
      <c r="BE798" t="s">
        <v>11072</v>
      </c>
      <c r="BF798" t="str">
        <f>HYPERLINK("http://dx.doi.org/10.1126/science.1071987","http://dx.doi.org/10.1126/science.1071987")</f>
        <v>http://dx.doi.org/10.1126/science.1071987</v>
      </c>
      <c r="BG798" t="s">
        <v>74</v>
      </c>
      <c r="BH798" t="s">
        <v>74</v>
      </c>
      <c r="BI798">
        <v>5</v>
      </c>
      <c r="BJ798" t="s">
        <v>5596</v>
      </c>
      <c r="BK798" t="s">
        <v>569</v>
      </c>
      <c r="BL798" t="s">
        <v>5597</v>
      </c>
      <c r="BM798" t="s">
        <v>11065</v>
      </c>
      <c r="BN798">
        <v>12202819</v>
      </c>
      <c r="BO798" t="s">
        <v>74</v>
      </c>
      <c r="BP798" t="s">
        <v>74</v>
      </c>
      <c r="BQ798" t="s">
        <v>74</v>
      </c>
      <c r="BR798" t="s">
        <v>98</v>
      </c>
      <c r="BS798" t="s">
        <v>11073</v>
      </c>
      <c r="BT798" t="str">
        <f>HYPERLINK("https%3A%2F%2Fwww.webofscience.com%2Fwos%2Fwoscc%2Ffull-record%2FWOS:000177697300045","View Full Record in Web of Science")</f>
        <v>View Full Record in Web of Science</v>
      </c>
    </row>
    <row r="799" spans="1:72" x14ac:dyDescent="0.15">
      <c r="A799" t="s">
        <v>552</v>
      </c>
      <c r="B799" t="s">
        <v>11074</v>
      </c>
      <c r="C799" t="s">
        <v>74</v>
      </c>
      <c r="D799" t="s">
        <v>74</v>
      </c>
      <c r="E799" t="s">
        <v>74</v>
      </c>
      <c r="F799" t="s">
        <v>11074</v>
      </c>
      <c r="G799" t="s">
        <v>74</v>
      </c>
      <c r="H799" t="s">
        <v>74</v>
      </c>
      <c r="I799" t="s">
        <v>11075</v>
      </c>
      <c r="J799" t="s">
        <v>5091</v>
      </c>
      <c r="K799" t="s">
        <v>74</v>
      </c>
      <c r="L799" t="s">
        <v>74</v>
      </c>
      <c r="M799" t="s">
        <v>78</v>
      </c>
      <c r="N799" t="s">
        <v>775</v>
      </c>
      <c r="O799" t="s">
        <v>74</v>
      </c>
      <c r="P799" t="s">
        <v>74</v>
      </c>
      <c r="Q799" t="s">
        <v>74</v>
      </c>
      <c r="R799" t="s">
        <v>74</v>
      </c>
      <c r="S799" t="s">
        <v>74</v>
      </c>
      <c r="T799" t="s">
        <v>11076</v>
      </c>
      <c r="U799" t="s">
        <v>11077</v>
      </c>
      <c r="V799" t="s">
        <v>11078</v>
      </c>
      <c r="W799" t="s">
        <v>11079</v>
      </c>
      <c r="X799" t="s">
        <v>11080</v>
      </c>
      <c r="Y799" t="s">
        <v>11081</v>
      </c>
      <c r="Z799" t="s">
        <v>11082</v>
      </c>
      <c r="AA799" t="s">
        <v>11083</v>
      </c>
      <c r="AB799" t="s">
        <v>11084</v>
      </c>
      <c r="AC799" t="s">
        <v>74</v>
      </c>
      <c r="AD799" t="s">
        <v>74</v>
      </c>
      <c r="AE799" t="s">
        <v>74</v>
      </c>
      <c r="AF799" t="s">
        <v>74</v>
      </c>
      <c r="AG799">
        <v>41</v>
      </c>
      <c r="AH799">
        <v>10</v>
      </c>
      <c r="AI799">
        <v>13</v>
      </c>
      <c r="AJ799">
        <v>0</v>
      </c>
      <c r="AK799">
        <v>3</v>
      </c>
      <c r="AL799" t="s">
        <v>387</v>
      </c>
      <c r="AM799" t="s">
        <v>388</v>
      </c>
      <c r="AN799" t="s">
        <v>389</v>
      </c>
      <c r="AO799" t="s">
        <v>5101</v>
      </c>
      <c r="AP799" t="s">
        <v>5188</v>
      </c>
      <c r="AQ799" t="s">
        <v>74</v>
      </c>
      <c r="AR799" t="s">
        <v>5102</v>
      </c>
      <c r="AS799" t="s">
        <v>5103</v>
      </c>
      <c r="AT799" t="s">
        <v>11085</v>
      </c>
      <c r="AU799">
        <v>2002</v>
      </c>
      <c r="AV799">
        <v>107</v>
      </c>
      <c r="AW799" t="s">
        <v>11086</v>
      </c>
      <c r="AX799" t="s">
        <v>74</v>
      </c>
      <c r="AY799" t="s">
        <v>74</v>
      </c>
      <c r="AZ799" t="s">
        <v>74</v>
      </c>
      <c r="BA799" t="s">
        <v>74</v>
      </c>
      <c r="BB799" t="s">
        <v>74</v>
      </c>
      <c r="BC799" t="s">
        <v>74</v>
      </c>
      <c r="BD799">
        <v>4314</v>
      </c>
      <c r="BE799" t="s">
        <v>11087</v>
      </c>
      <c r="BF799" t="str">
        <f>HYPERLINK("http://dx.doi.org/10.1029/2001JD001015","http://dx.doi.org/10.1029/2001JD001015")</f>
        <v>http://dx.doi.org/10.1029/2001JD001015</v>
      </c>
      <c r="BG799" t="s">
        <v>74</v>
      </c>
      <c r="BH799" t="s">
        <v>74</v>
      </c>
      <c r="BI799">
        <v>22</v>
      </c>
      <c r="BJ799" t="s">
        <v>1237</v>
      </c>
      <c r="BK799" t="s">
        <v>569</v>
      </c>
      <c r="BL799" t="s">
        <v>1237</v>
      </c>
      <c r="BM799" t="s">
        <v>11088</v>
      </c>
      <c r="BN799" t="s">
        <v>74</v>
      </c>
      <c r="BO799" t="s">
        <v>74</v>
      </c>
      <c r="BP799" t="s">
        <v>74</v>
      </c>
      <c r="BQ799" t="s">
        <v>74</v>
      </c>
      <c r="BR799" t="s">
        <v>98</v>
      </c>
      <c r="BS799" t="s">
        <v>11089</v>
      </c>
      <c r="BT799" t="str">
        <f>HYPERLINK("https%3A%2F%2Fwww.webofscience.com%2Fwos%2Fwoscc%2Ffull-record%2FWOS:000180331800004","View Full Record in Web of Science")</f>
        <v>View Full Record in Web of Science</v>
      </c>
    </row>
    <row r="800" spans="1:72" x14ac:dyDescent="0.15">
      <c r="A800" t="s">
        <v>552</v>
      </c>
      <c r="B800" t="s">
        <v>11090</v>
      </c>
      <c r="C800" t="s">
        <v>74</v>
      </c>
      <c r="D800" t="s">
        <v>74</v>
      </c>
      <c r="E800" t="s">
        <v>74</v>
      </c>
      <c r="F800" t="s">
        <v>11090</v>
      </c>
      <c r="G800" t="s">
        <v>74</v>
      </c>
      <c r="H800" t="s">
        <v>74</v>
      </c>
      <c r="I800" t="s">
        <v>11091</v>
      </c>
      <c r="J800" t="s">
        <v>11092</v>
      </c>
      <c r="K800" t="s">
        <v>74</v>
      </c>
      <c r="L800" t="s">
        <v>74</v>
      </c>
      <c r="M800" t="s">
        <v>78</v>
      </c>
      <c r="N800" t="s">
        <v>775</v>
      </c>
      <c r="O800" t="s">
        <v>74</v>
      </c>
      <c r="P800" t="s">
        <v>74</v>
      </c>
      <c r="Q800" t="s">
        <v>74</v>
      </c>
      <c r="R800" t="s">
        <v>74</v>
      </c>
      <c r="S800" t="s">
        <v>74</v>
      </c>
      <c r="T800" t="s">
        <v>74</v>
      </c>
      <c r="U800" t="s">
        <v>11093</v>
      </c>
      <c r="V800" t="s">
        <v>11094</v>
      </c>
      <c r="W800" t="s">
        <v>11095</v>
      </c>
      <c r="X800" t="s">
        <v>11096</v>
      </c>
      <c r="Y800" t="s">
        <v>11097</v>
      </c>
      <c r="Z800" t="s">
        <v>74</v>
      </c>
      <c r="AA800" t="s">
        <v>74</v>
      </c>
      <c r="AB800" t="s">
        <v>11098</v>
      </c>
      <c r="AC800" t="s">
        <v>74</v>
      </c>
      <c r="AD800" t="s">
        <v>74</v>
      </c>
      <c r="AE800" t="s">
        <v>74</v>
      </c>
      <c r="AF800" t="s">
        <v>74</v>
      </c>
      <c r="AG800">
        <v>29</v>
      </c>
      <c r="AH800">
        <v>21</v>
      </c>
      <c r="AI800">
        <v>25</v>
      </c>
      <c r="AJ800">
        <v>0</v>
      </c>
      <c r="AK800">
        <v>4</v>
      </c>
      <c r="AL800" t="s">
        <v>2014</v>
      </c>
      <c r="AM800" t="s">
        <v>388</v>
      </c>
      <c r="AN800" t="s">
        <v>2015</v>
      </c>
      <c r="AO800" t="s">
        <v>11099</v>
      </c>
      <c r="AP800" t="s">
        <v>74</v>
      </c>
      <c r="AQ800" t="s">
        <v>74</v>
      </c>
      <c r="AR800" t="s">
        <v>11100</v>
      </c>
      <c r="AS800" t="s">
        <v>11101</v>
      </c>
      <c r="AT800" t="s">
        <v>11085</v>
      </c>
      <c r="AU800">
        <v>2002</v>
      </c>
      <c r="AV800">
        <v>106</v>
      </c>
      <c r="AW800">
        <v>34</v>
      </c>
      <c r="AX800" t="s">
        <v>74</v>
      </c>
      <c r="AY800" t="s">
        <v>74</v>
      </c>
      <c r="AZ800" t="s">
        <v>74</v>
      </c>
      <c r="BA800" t="s">
        <v>74</v>
      </c>
      <c r="BB800">
        <v>7764</v>
      </c>
      <c r="BC800">
        <v>7768</v>
      </c>
      <c r="BD800" t="s">
        <v>74</v>
      </c>
      <c r="BE800" t="s">
        <v>11102</v>
      </c>
      <c r="BF800" t="str">
        <f>HYPERLINK("http://dx.doi.org/10.1021/jp025697k","http://dx.doi.org/10.1021/jp025697k")</f>
        <v>http://dx.doi.org/10.1021/jp025697k</v>
      </c>
      <c r="BG800" t="s">
        <v>74</v>
      </c>
      <c r="BH800" t="s">
        <v>74</v>
      </c>
      <c r="BI800">
        <v>5</v>
      </c>
      <c r="BJ800" t="s">
        <v>11103</v>
      </c>
      <c r="BK800" t="s">
        <v>569</v>
      </c>
      <c r="BL800" t="s">
        <v>11104</v>
      </c>
      <c r="BM800" t="s">
        <v>11105</v>
      </c>
      <c r="BN800" t="s">
        <v>74</v>
      </c>
      <c r="BO800" t="s">
        <v>74</v>
      </c>
      <c r="BP800" t="s">
        <v>74</v>
      </c>
      <c r="BQ800" t="s">
        <v>74</v>
      </c>
      <c r="BR800" t="s">
        <v>98</v>
      </c>
      <c r="BS800" t="s">
        <v>11106</v>
      </c>
      <c r="BT800" t="str">
        <f>HYPERLINK("https%3A%2F%2Fwww.webofscience.com%2Fwos%2Fwoscc%2Ffull-record%2FWOS:000177705000018","View Full Record in Web of Science")</f>
        <v>View Full Record in Web of Science</v>
      </c>
    </row>
    <row r="801" spans="1:72" x14ac:dyDescent="0.15">
      <c r="A801" t="s">
        <v>552</v>
      </c>
      <c r="B801" t="s">
        <v>11107</v>
      </c>
      <c r="C801" t="s">
        <v>74</v>
      </c>
      <c r="D801" t="s">
        <v>74</v>
      </c>
      <c r="E801" t="s">
        <v>74</v>
      </c>
      <c r="F801" t="s">
        <v>11107</v>
      </c>
      <c r="G801" t="s">
        <v>74</v>
      </c>
      <c r="H801" t="s">
        <v>74</v>
      </c>
      <c r="I801" t="s">
        <v>11108</v>
      </c>
      <c r="J801" t="s">
        <v>5495</v>
      </c>
      <c r="K801" t="s">
        <v>74</v>
      </c>
      <c r="L801" t="s">
        <v>74</v>
      </c>
      <c r="M801" t="s">
        <v>78</v>
      </c>
      <c r="N801" t="s">
        <v>775</v>
      </c>
      <c r="O801" t="s">
        <v>74</v>
      </c>
      <c r="P801" t="s">
        <v>74</v>
      </c>
      <c r="Q801" t="s">
        <v>74</v>
      </c>
      <c r="R801" t="s">
        <v>74</v>
      </c>
      <c r="S801" t="s">
        <v>74</v>
      </c>
      <c r="T801" t="s">
        <v>11109</v>
      </c>
      <c r="U801" t="s">
        <v>11110</v>
      </c>
      <c r="V801" t="s">
        <v>11111</v>
      </c>
      <c r="W801" t="s">
        <v>11112</v>
      </c>
      <c r="X801" t="s">
        <v>11113</v>
      </c>
      <c r="Y801" t="s">
        <v>11114</v>
      </c>
      <c r="Z801" t="s">
        <v>11115</v>
      </c>
      <c r="AA801" t="s">
        <v>11116</v>
      </c>
      <c r="AB801" t="s">
        <v>11117</v>
      </c>
      <c r="AC801" t="s">
        <v>74</v>
      </c>
      <c r="AD801" t="s">
        <v>74</v>
      </c>
      <c r="AE801" t="s">
        <v>74</v>
      </c>
      <c r="AF801" t="s">
        <v>74</v>
      </c>
      <c r="AG801">
        <v>76</v>
      </c>
      <c r="AH801">
        <v>19</v>
      </c>
      <c r="AI801">
        <v>20</v>
      </c>
      <c r="AJ801">
        <v>0</v>
      </c>
      <c r="AK801">
        <v>6</v>
      </c>
      <c r="AL801" t="s">
        <v>387</v>
      </c>
      <c r="AM801" t="s">
        <v>388</v>
      </c>
      <c r="AN801" t="s">
        <v>389</v>
      </c>
      <c r="AO801" t="s">
        <v>5505</v>
      </c>
      <c r="AP801" t="s">
        <v>5506</v>
      </c>
      <c r="AQ801" t="s">
        <v>74</v>
      </c>
      <c r="AR801" t="s">
        <v>5507</v>
      </c>
      <c r="AS801" t="s">
        <v>5508</v>
      </c>
      <c r="AT801" t="s">
        <v>11118</v>
      </c>
      <c r="AU801">
        <v>2002</v>
      </c>
      <c r="AV801">
        <v>107</v>
      </c>
      <c r="AW801" t="s">
        <v>11119</v>
      </c>
      <c r="AX801" t="s">
        <v>74</v>
      </c>
      <c r="AY801" t="s">
        <v>74</v>
      </c>
      <c r="AZ801" t="s">
        <v>74</v>
      </c>
      <c r="BA801" t="s">
        <v>74</v>
      </c>
      <c r="BB801" t="s">
        <v>74</v>
      </c>
      <c r="BC801" t="s">
        <v>74</v>
      </c>
      <c r="BD801">
        <v>2172</v>
      </c>
      <c r="BE801" t="s">
        <v>11120</v>
      </c>
      <c r="BF801" t="str">
        <f>HYPERLINK("http://dx.doi.org/10.1029/2001JB000535","http://dx.doi.org/10.1029/2001JB000535")</f>
        <v>http://dx.doi.org/10.1029/2001JB000535</v>
      </c>
      <c r="BG801" t="s">
        <v>74</v>
      </c>
      <c r="BH801" t="s">
        <v>74</v>
      </c>
      <c r="BI801">
        <v>11</v>
      </c>
      <c r="BJ801" t="s">
        <v>2068</v>
      </c>
      <c r="BK801" t="s">
        <v>569</v>
      </c>
      <c r="BL801" t="s">
        <v>2068</v>
      </c>
      <c r="BM801" t="s">
        <v>11121</v>
      </c>
      <c r="BN801" t="s">
        <v>74</v>
      </c>
      <c r="BO801" t="s">
        <v>572</v>
      </c>
      <c r="BP801" t="s">
        <v>74</v>
      </c>
      <c r="BQ801" t="s">
        <v>74</v>
      </c>
      <c r="BR801" t="s">
        <v>98</v>
      </c>
      <c r="BS801" t="s">
        <v>11122</v>
      </c>
      <c r="BT801" t="str">
        <f>HYPERLINK("https%3A%2F%2Fwww.webofscience.com%2Fwos%2Fwoscc%2Ffull-record%2FWOS:000179638300001","View Full Record in Web of Science")</f>
        <v>View Full Record in Web of Science</v>
      </c>
    </row>
    <row r="802" spans="1:72" x14ac:dyDescent="0.15">
      <c r="A802" t="s">
        <v>552</v>
      </c>
      <c r="B802" t="s">
        <v>11123</v>
      </c>
      <c r="C802" t="s">
        <v>74</v>
      </c>
      <c r="D802" t="s">
        <v>74</v>
      </c>
      <c r="E802" t="s">
        <v>74</v>
      </c>
      <c r="F802" t="s">
        <v>11123</v>
      </c>
      <c r="G802" t="s">
        <v>74</v>
      </c>
      <c r="H802" t="s">
        <v>74</v>
      </c>
      <c r="I802" t="s">
        <v>11124</v>
      </c>
      <c r="J802" t="s">
        <v>11125</v>
      </c>
      <c r="K802" t="s">
        <v>74</v>
      </c>
      <c r="L802" t="s">
        <v>74</v>
      </c>
      <c r="M802" t="s">
        <v>78</v>
      </c>
      <c r="N802" t="s">
        <v>775</v>
      </c>
      <c r="O802" t="s">
        <v>74</v>
      </c>
      <c r="P802" t="s">
        <v>74</v>
      </c>
      <c r="Q802" t="s">
        <v>74</v>
      </c>
      <c r="R802" t="s">
        <v>74</v>
      </c>
      <c r="S802" t="s">
        <v>74</v>
      </c>
      <c r="T802" t="s">
        <v>74</v>
      </c>
      <c r="U802" t="s">
        <v>11126</v>
      </c>
      <c r="V802" t="s">
        <v>11127</v>
      </c>
      <c r="W802" t="s">
        <v>11128</v>
      </c>
      <c r="X802" t="s">
        <v>780</v>
      </c>
      <c r="Y802" t="s">
        <v>11129</v>
      </c>
      <c r="Z802" t="s">
        <v>74</v>
      </c>
      <c r="AA802" t="s">
        <v>11130</v>
      </c>
      <c r="AB802" t="s">
        <v>11131</v>
      </c>
      <c r="AC802" t="s">
        <v>74</v>
      </c>
      <c r="AD802" t="s">
        <v>74</v>
      </c>
      <c r="AE802" t="s">
        <v>74</v>
      </c>
      <c r="AF802" t="s">
        <v>74</v>
      </c>
      <c r="AG802">
        <v>44</v>
      </c>
      <c r="AH802">
        <v>74</v>
      </c>
      <c r="AI802">
        <v>78</v>
      </c>
      <c r="AJ802">
        <v>1</v>
      </c>
      <c r="AK802">
        <v>18</v>
      </c>
      <c r="AL802" t="s">
        <v>11132</v>
      </c>
      <c r="AM802" t="s">
        <v>2113</v>
      </c>
      <c r="AN802" t="s">
        <v>11133</v>
      </c>
      <c r="AO802" t="s">
        <v>11134</v>
      </c>
      <c r="AP802" t="s">
        <v>74</v>
      </c>
      <c r="AQ802" t="s">
        <v>74</v>
      </c>
      <c r="AR802" t="s">
        <v>11135</v>
      </c>
      <c r="AS802" t="s">
        <v>11136</v>
      </c>
      <c r="AT802" t="s">
        <v>11118</v>
      </c>
      <c r="AU802">
        <v>2002</v>
      </c>
      <c r="AV802">
        <v>151</v>
      </c>
      <c r="AW802">
        <v>8</v>
      </c>
      <c r="AX802" t="s">
        <v>74</v>
      </c>
      <c r="AY802" t="s">
        <v>74</v>
      </c>
      <c r="AZ802" t="s">
        <v>74</v>
      </c>
      <c r="BA802" t="s">
        <v>74</v>
      </c>
      <c r="BB802">
        <v>235</v>
      </c>
      <c r="BC802">
        <v>240</v>
      </c>
      <c r="BD802" t="s">
        <v>74</v>
      </c>
      <c r="BE802" t="s">
        <v>11137</v>
      </c>
      <c r="BF802" t="str">
        <f>HYPERLINK("http://dx.doi.org/10.1136/vr.151.8.235","http://dx.doi.org/10.1136/vr.151.8.235")</f>
        <v>http://dx.doi.org/10.1136/vr.151.8.235</v>
      </c>
      <c r="BG802" t="s">
        <v>74</v>
      </c>
      <c r="BH802" t="s">
        <v>74</v>
      </c>
      <c r="BI802">
        <v>6</v>
      </c>
      <c r="BJ802" t="s">
        <v>905</v>
      </c>
      <c r="BK802" t="s">
        <v>569</v>
      </c>
      <c r="BL802" t="s">
        <v>905</v>
      </c>
      <c r="BM802" t="s">
        <v>11138</v>
      </c>
      <c r="BN802">
        <v>12219901</v>
      </c>
      <c r="BO802" t="s">
        <v>74</v>
      </c>
      <c r="BP802" t="s">
        <v>74</v>
      </c>
      <c r="BQ802" t="s">
        <v>74</v>
      </c>
      <c r="BR802" t="s">
        <v>98</v>
      </c>
      <c r="BS802" t="s">
        <v>11139</v>
      </c>
      <c r="BT802" t="str">
        <f>HYPERLINK("https%3A%2F%2Fwww.webofscience.com%2Fwos%2Fwoscc%2Ffull-record%2FWOS:000177728300008","View Full Record in Web of Science")</f>
        <v>View Full Record in Web of Science</v>
      </c>
    </row>
    <row r="803" spans="1:72" x14ac:dyDescent="0.15">
      <c r="A803" t="s">
        <v>552</v>
      </c>
      <c r="B803" t="s">
        <v>11140</v>
      </c>
      <c r="C803" t="s">
        <v>74</v>
      </c>
      <c r="D803" t="s">
        <v>74</v>
      </c>
      <c r="E803" t="s">
        <v>74</v>
      </c>
      <c r="F803" t="s">
        <v>11140</v>
      </c>
      <c r="G803" t="s">
        <v>74</v>
      </c>
      <c r="H803" t="s">
        <v>74</v>
      </c>
      <c r="I803" t="s">
        <v>11141</v>
      </c>
      <c r="J803" t="s">
        <v>5495</v>
      </c>
      <c r="K803" t="s">
        <v>74</v>
      </c>
      <c r="L803" t="s">
        <v>74</v>
      </c>
      <c r="M803" t="s">
        <v>78</v>
      </c>
      <c r="N803" t="s">
        <v>775</v>
      </c>
      <c r="O803" t="s">
        <v>74</v>
      </c>
      <c r="P803" t="s">
        <v>74</v>
      </c>
      <c r="Q803" t="s">
        <v>74</v>
      </c>
      <c r="R803" t="s">
        <v>74</v>
      </c>
      <c r="S803" t="s">
        <v>74</v>
      </c>
      <c r="T803" t="s">
        <v>11142</v>
      </c>
      <c r="U803" t="s">
        <v>11143</v>
      </c>
      <c r="V803" t="s">
        <v>11144</v>
      </c>
      <c r="W803" t="s">
        <v>11145</v>
      </c>
      <c r="X803" t="s">
        <v>11146</v>
      </c>
      <c r="Y803" t="s">
        <v>11147</v>
      </c>
      <c r="Z803" t="s">
        <v>11148</v>
      </c>
      <c r="AA803" t="s">
        <v>11149</v>
      </c>
      <c r="AB803" t="s">
        <v>74</v>
      </c>
      <c r="AC803" t="s">
        <v>74</v>
      </c>
      <c r="AD803" t="s">
        <v>74</v>
      </c>
      <c r="AE803" t="s">
        <v>74</v>
      </c>
      <c r="AF803" t="s">
        <v>74</v>
      </c>
      <c r="AG803">
        <v>63</v>
      </c>
      <c r="AH803">
        <v>59</v>
      </c>
      <c r="AI803">
        <v>60</v>
      </c>
      <c r="AJ803">
        <v>0</v>
      </c>
      <c r="AK803">
        <v>10</v>
      </c>
      <c r="AL803" t="s">
        <v>387</v>
      </c>
      <c r="AM803" t="s">
        <v>388</v>
      </c>
      <c r="AN803" t="s">
        <v>389</v>
      </c>
      <c r="AO803" t="s">
        <v>5505</v>
      </c>
      <c r="AP803" t="s">
        <v>5506</v>
      </c>
      <c r="AQ803" t="s">
        <v>74</v>
      </c>
      <c r="AR803" t="s">
        <v>5507</v>
      </c>
      <c r="AS803" t="s">
        <v>5508</v>
      </c>
      <c r="AT803" t="s">
        <v>11150</v>
      </c>
      <c r="AU803">
        <v>2002</v>
      </c>
      <c r="AV803">
        <v>107</v>
      </c>
      <c r="AW803" t="s">
        <v>11119</v>
      </c>
      <c r="AX803" t="s">
        <v>74</v>
      </c>
      <c r="AY803" t="s">
        <v>74</v>
      </c>
      <c r="AZ803" t="s">
        <v>74</v>
      </c>
      <c r="BA803" t="s">
        <v>74</v>
      </c>
      <c r="BB803" t="s">
        <v>74</v>
      </c>
      <c r="BC803" t="s">
        <v>74</v>
      </c>
      <c r="BD803">
        <v>2171</v>
      </c>
      <c r="BE803" t="s">
        <v>11151</v>
      </c>
      <c r="BF803" t="str">
        <f>HYPERLINK("http://dx.doi.org/10.1029/2001JB000444","http://dx.doi.org/10.1029/2001JB000444")</f>
        <v>http://dx.doi.org/10.1029/2001JB000444</v>
      </c>
      <c r="BG803" t="s">
        <v>74</v>
      </c>
      <c r="BH803" t="s">
        <v>74</v>
      </c>
      <c r="BI803">
        <v>17</v>
      </c>
      <c r="BJ803" t="s">
        <v>2068</v>
      </c>
      <c r="BK803" t="s">
        <v>569</v>
      </c>
      <c r="BL803" t="s">
        <v>2068</v>
      </c>
      <c r="BM803" t="s">
        <v>11152</v>
      </c>
      <c r="BN803" t="s">
        <v>74</v>
      </c>
      <c r="BO803" t="s">
        <v>572</v>
      </c>
      <c r="BP803" t="s">
        <v>74</v>
      </c>
      <c r="BQ803" t="s">
        <v>74</v>
      </c>
      <c r="BR803" t="s">
        <v>98</v>
      </c>
      <c r="BS803" t="s">
        <v>11153</v>
      </c>
      <c r="BT803" t="str">
        <f>HYPERLINK("https%3A%2F%2Fwww.webofscience.com%2Fwos%2Fwoscc%2Ffull-record%2FWOS:000179638200004","View Full Record in Web of Science")</f>
        <v>View Full Record in Web of Science</v>
      </c>
    </row>
    <row r="804" spans="1:72" x14ac:dyDescent="0.15">
      <c r="A804" t="s">
        <v>552</v>
      </c>
      <c r="B804" t="s">
        <v>11154</v>
      </c>
      <c r="C804" t="s">
        <v>74</v>
      </c>
      <c r="D804" t="s">
        <v>74</v>
      </c>
      <c r="E804" t="s">
        <v>74</v>
      </c>
      <c r="F804" t="s">
        <v>11154</v>
      </c>
      <c r="G804" t="s">
        <v>74</v>
      </c>
      <c r="H804" t="s">
        <v>74</v>
      </c>
      <c r="I804" t="s">
        <v>11155</v>
      </c>
      <c r="J804" t="s">
        <v>11156</v>
      </c>
      <c r="K804" t="s">
        <v>74</v>
      </c>
      <c r="L804" t="s">
        <v>74</v>
      </c>
      <c r="M804" t="s">
        <v>78</v>
      </c>
      <c r="N804" t="s">
        <v>775</v>
      </c>
      <c r="O804" t="s">
        <v>74</v>
      </c>
      <c r="P804" t="s">
        <v>74</v>
      </c>
      <c r="Q804" t="s">
        <v>74</v>
      </c>
      <c r="R804" t="s">
        <v>74</v>
      </c>
      <c r="S804" t="s">
        <v>74</v>
      </c>
      <c r="T804" t="s">
        <v>74</v>
      </c>
      <c r="U804" t="s">
        <v>11157</v>
      </c>
      <c r="V804" t="s">
        <v>11158</v>
      </c>
      <c r="W804" t="s">
        <v>11159</v>
      </c>
      <c r="X804" t="s">
        <v>11160</v>
      </c>
      <c r="Y804" t="s">
        <v>11161</v>
      </c>
      <c r="Z804" t="s">
        <v>74</v>
      </c>
      <c r="AA804" t="s">
        <v>11162</v>
      </c>
      <c r="AB804" t="s">
        <v>11163</v>
      </c>
      <c r="AC804" t="s">
        <v>74</v>
      </c>
      <c r="AD804" t="s">
        <v>74</v>
      </c>
      <c r="AE804" t="s">
        <v>74</v>
      </c>
      <c r="AF804" t="s">
        <v>74</v>
      </c>
      <c r="AG804">
        <v>42</v>
      </c>
      <c r="AH804">
        <v>43</v>
      </c>
      <c r="AI804">
        <v>50</v>
      </c>
      <c r="AJ804">
        <v>1</v>
      </c>
      <c r="AK804">
        <v>19</v>
      </c>
      <c r="AL804" t="s">
        <v>2189</v>
      </c>
      <c r="AM804" t="s">
        <v>2190</v>
      </c>
      <c r="AN804" t="s">
        <v>2597</v>
      </c>
      <c r="AO804" t="s">
        <v>11164</v>
      </c>
      <c r="AP804" t="s">
        <v>74</v>
      </c>
      <c r="AQ804" t="s">
        <v>74</v>
      </c>
      <c r="AR804" t="s">
        <v>11165</v>
      </c>
      <c r="AS804" t="s">
        <v>11166</v>
      </c>
      <c r="AT804" t="s">
        <v>11167</v>
      </c>
      <c r="AU804">
        <v>2002</v>
      </c>
      <c r="AV804">
        <v>117</v>
      </c>
      <c r="AW804">
        <v>8</v>
      </c>
      <c r="AX804" t="s">
        <v>74</v>
      </c>
      <c r="AY804" t="s">
        <v>74</v>
      </c>
      <c r="AZ804" t="s">
        <v>74</v>
      </c>
      <c r="BA804" t="s">
        <v>74</v>
      </c>
      <c r="BB804">
        <v>3886</v>
      </c>
      <c r="BC804">
        <v>3896</v>
      </c>
      <c r="BD804" t="s">
        <v>74</v>
      </c>
      <c r="BE804" t="s">
        <v>11168</v>
      </c>
      <c r="BF804" t="str">
        <f>HYPERLINK("http://dx.doi.org/10.1063/1.1495844","http://dx.doi.org/10.1063/1.1495844")</f>
        <v>http://dx.doi.org/10.1063/1.1495844</v>
      </c>
      <c r="BG804" t="s">
        <v>74</v>
      </c>
      <c r="BH804" t="s">
        <v>74</v>
      </c>
      <c r="BI804">
        <v>11</v>
      </c>
      <c r="BJ804" t="s">
        <v>11103</v>
      </c>
      <c r="BK804" t="s">
        <v>569</v>
      </c>
      <c r="BL804" t="s">
        <v>11104</v>
      </c>
      <c r="BM804" t="s">
        <v>11169</v>
      </c>
      <c r="BN804" t="s">
        <v>74</v>
      </c>
      <c r="BO804" t="s">
        <v>74</v>
      </c>
      <c r="BP804" t="s">
        <v>74</v>
      </c>
      <c r="BQ804" t="s">
        <v>74</v>
      </c>
      <c r="BR804" t="s">
        <v>98</v>
      </c>
      <c r="BS804" t="s">
        <v>11170</v>
      </c>
      <c r="BT804" t="str">
        <f>HYPERLINK("https%3A%2F%2Fwww.webofscience.com%2Fwos%2Fwoscc%2Ffull-record%2FWOS:000177351100040","View Full Record in Web of Science")</f>
        <v>View Full Record in Web of Science</v>
      </c>
    </row>
    <row r="805" spans="1:72" x14ac:dyDescent="0.15">
      <c r="A805" t="s">
        <v>552</v>
      </c>
      <c r="B805" t="s">
        <v>11171</v>
      </c>
      <c r="C805" t="s">
        <v>74</v>
      </c>
      <c r="D805" t="s">
        <v>74</v>
      </c>
      <c r="E805" t="s">
        <v>74</v>
      </c>
      <c r="F805" t="s">
        <v>11171</v>
      </c>
      <c r="G805" t="s">
        <v>74</v>
      </c>
      <c r="H805" t="s">
        <v>74</v>
      </c>
      <c r="I805" t="s">
        <v>11172</v>
      </c>
      <c r="J805" t="s">
        <v>11173</v>
      </c>
      <c r="K805" t="s">
        <v>74</v>
      </c>
      <c r="L805" t="s">
        <v>74</v>
      </c>
      <c r="M805" t="s">
        <v>78</v>
      </c>
      <c r="N805" t="s">
        <v>775</v>
      </c>
      <c r="O805" t="s">
        <v>74</v>
      </c>
      <c r="P805" t="s">
        <v>74</v>
      </c>
      <c r="Q805" t="s">
        <v>74</v>
      </c>
      <c r="R805" t="s">
        <v>74</v>
      </c>
      <c r="S805" t="s">
        <v>74</v>
      </c>
      <c r="T805" t="s">
        <v>11174</v>
      </c>
      <c r="U805" t="s">
        <v>11175</v>
      </c>
      <c r="V805" t="s">
        <v>11176</v>
      </c>
      <c r="W805" t="s">
        <v>11177</v>
      </c>
      <c r="X805" t="s">
        <v>1592</v>
      </c>
      <c r="Y805" t="s">
        <v>11178</v>
      </c>
      <c r="Z805" t="s">
        <v>11179</v>
      </c>
      <c r="AA805" t="s">
        <v>74</v>
      </c>
      <c r="AB805" t="s">
        <v>74</v>
      </c>
      <c r="AC805" t="s">
        <v>74</v>
      </c>
      <c r="AD805" t="s">
        <v>74</v>
      </c>
      <c r="AE805" t="s">
        <v>74</v>
      </c>
      <c r="AF805" t="s">
        <v>74</v>
      </c>
      <c r="AG805">
        <v>34</v>
      </c>
      <c r="AH805">
        <v>22</v>
      </c>
      <c r="AI805">
        <v>26</v>
      </c>
      <c r="AJ805">
        <v>0</v>
      </c>
      <c r="AK805">
        <v>46</v>
      </c>
      <c r="AL805" t="s">
        <v>1147</v>
      </c>
      <c r="AM805" t="s">
        <v>1148</v>
      </c>
      <c r="AN805" t="s">
        <v>1149</v>
      </c>
      <c r="AO805" t="s">
        <v>11180</v>
      </c>
      <c r="AP805" t="s">
        <v>11181</v>
      </c>
      <c r="AQ805" t="s">
        <v>74</v>
      </c>
      <c r="AR805" t="s">
        <v>11182</v>
      </c>
      <c r="AS805" t="s">
        <v>11183</v>
      </c>
      <c r="AT805" t="s">
        <v>11184</v>
      </c>
      <c r="AU805">
        <v>2002</v>
      </c>
      <c r="AV805">
        <v>33</v>
      </c>
      <c r="AW805">
        <v>10</v>
      </c>
      <c r="AX805" t="s">
        <v>74</v>
      </c>
      <c r="AY805" t="s">
        <v>74</v>
      </c>
      <c r="AZ805" t="s">
        <v>74</v>
      </c>
      <c r="BA805" t="s">
        <v>74</v>
      </c>
      <c r="BB805">
        <v>785</v>
      </c>
      <c r="BC805">
        <v>798</v>
      </c>
      <c r="BD805" t="s">
        <v>74</v>
      </c>
      <c r="BE805" t="s">
        <v>11185</v>
      </c>
      <c r="BF805" t="str">
        <f>HYPERLINK("http://dx.doi.org/10.1046/j.1365-2109.2002.00722.x","http://dx.doi.org/10.1046/j.1365-2109.2002.00722.x")</f>
        <v>http://dx.doi.org/10.1046/j.1365-2109.2002.00722.x</v>
      </c>
      <c r="BG805" t="s">
        <v>74</v>
      </c>
      <c r="BH805" t="s">
        <v>74</v>
      </c>
      <c r="BI805">
        <v>14</v>
      </c>
      <c r="BJ805" t="s">
        <v>1035</v>
      </c>
      <c r="BK805" t="s">
        <v>569</v>
      </c>
      <c r="BL805" t="s">
        <v>1035</v>
      </c>
      <c r="BM805" t="s">
        <v>11186</v>
      </c>
      <c r="BN805" t="s">
        <v>74</v>
      </c>
      <c r="BO805" t="s">
        <v>2217</v>
      </c>
      <c r="BP805" t="s">
        <v>74</v>
      </c>
      <c r="BQ805" t="s">
        <v>74</v>
      </c>
      <c r="BR805" t="s">
        <v>98</v>
      </c>
      <c r="BS805" t="s">
        <v>11187</v>
      </c>
      <c r="BT805" t="str">
        <f>HYPERLINK("https%3A%2F%2Fwww.webofscience.com%2Fwos%2Fwoscc%2Ffull-record%2FWOS:000177196000006","View Full Record in Web of Science")</f>
        <v>View Full Record in Web of Science</v>
      </c>
    </row>
    <row r="806" spans="1:72" x14ac:dyDescent="0.15">
      <c r="A806" t="s">
        <v>552</v>
      </c>
      <c r="B806" t="s">
        <v>11188</v>
      </c>
      <c r="C806" t="s">
        <v>74</v>
      </c>
      <c r="D806" t="s">
        <v>74</v>
      </c>
      <c r="E806" t="s">
        <v>74</v>
      </c>
      <c r="F806" t="s">
        <v>11188</v>
      </c>
      <c r="G806" t="s">
        <v>74</v>
      </c>
      <c r="H806" t="s">
        <v>74</v>
      </c>
      <c r="I806" t="s">
        <v>11189</v>
      </c>
      <c r="J806" t="s">
        <v>5223</v>
      </c>
      <c r="K806" t="s">
        <v>74</v>
      </c>
      <c r="L806" t="s">
        <v>74</v>
      </c>
      <c r="M806" t="s">
        <v>78</v>
      </c>
      <c r="N806" t="s">
        <v>775</v>
      </c>
      <c r="O806" t="s">
        <v>74</v>
      </c>
      <c r="P806" t="s">
        <v>74</v>
      </c>
      <c r="Q806" t="s">
        <v>74</v>
      </c>
      <c r="R806" t="s">
        <v>74</v>
      </c>
      <c r="S806" t="s">
        <v>74</v>
      </c>
      <c r="T806" t="s">
        <v>11190</v>
      </c>
      <c r="U806" t="s">
        <v>11191</v>
      </c>
      <c r="V806" t="s">
        <v>11192</v>
      </c>
      <c r="W806" t="s">
        <v>11193</v>
      </c>
      <c r="X806" t="s">
        <v>11194</v>
      </c>
      <c r="Y806" t="s">
        <v>11195</v>
      </c>
      <c r="Z806" t="s">
        <v>11196</v>
      </c>
      <c r="AA806" t="s">
        <v>11197</v>
      </c>
      <c r="AB806" t="s">
        <v>11198</v>
      </c>
      <c r="AC806" t="s">
        <v>74</v>
      </c>
      <c r="AD806" t="s">
        <v>74</v>
      </c>
      <c r="AE806" t="s">
        <v>74</v>
      </c>
      <c r="AF806" t="s">
        <v>74</v>
      </c>
      <c r="AG806">
        <v>25</v>
      </c>
      <c r="AH806">
        <v>21</v>
      </c>
      <c r="AI806">
        <v>21</v>
      </c>
      <c r="AJ806">
        <v>0</v>
      </c>
      <c r="AK806">
        <v>1</v>
      </c>
      <c r="AL806" t="s">
        <v>387</v>
      </c>
      <c r="AM806" t="s">
        <v>388</v>
      </c>
      <c r="AN806" t="s">
        <v>389</v>
      </c>
      <c r="AO806" t="s">
        <v>5231</v>
      </c>
      <c r="AP806" t="s">
        <v>5232</v>
      </c>
      <c r="AQ806" t="s">
        <v>74</v>
      </c>
      <c r="AR806" t="s">
        <v>5233</v>
      </c>
      <c r="AS806" t="s">
        <v>5234</v>
      </c>
      <c r="AT806" t="s">
        <v>11184</v>
      </c>
      <c r="AU806">
        <v>2002</v>
      </c>
      <c r="AV806">
        <v>107</v>
      </c>
      <c r="AW806" t="s">
        <v>11199</v>
      </c>
      <c r="AX806" t="s">
        <v>74</v>
      </c>
      <c r="AY806" t="s">
        <v>74</v>
      </c>
      <c r="AZ806" t="s">
        <v>74</v>
      </c>
      <c r="BA806" t="s">
        <v>74</v>
      </c>
      <c r="BB806" t="s">
        <v>74</v>
      </c>
      <c r="BC806" t="s">
        <v>74</v>
      </c>
      <c r="BD806">
        <v>1195</v>
      </c>
      <c r="BE806" t="s">
        <v>11200</v>
      </c>
      <c r="BF806" t="str">
        <f>HYPERLINK("http://dx.doi.org/10.1029/2001JA900143","http://dx.doi.org/10.1029/2001JA900143")</f>
        <v>http://dx.doi.org/10.1029/2001JA900143</v>
      </c>
      <c r="BG806" t="s">
        <v>74</v>
      </c>
      <c r="BH806" t="s">
        <v>74</v>
      </c>
      <c r="BI806">
        <v>12</v>
      </c>
      <c r="BJ806" t="s">
        <v>4840</v>
      </c>
      <c r="BK806" t="s">
        <v>569</v>
      </c>
      <c r="BL806" t="s">
        <v>4840</v>
      </c>
      <c r="BM806" t="s">
        <v>11201</v>
      </c>
      <c r="BN806" t="s">
        <v>74</v>
      </c>
      <c r="BO806" t="s">
        <v>3298</v>
      </c>
      <c r="BP806" t="s">
        <v>74</v>
      </c>
      <c r="BQ806" t="s">
        <v>74</v>
      </c>
      <c r="BR806" t="s">
        <v>98</v>
      </c>
      <c r="BS806" t="s">
        <v>11202</v>
      </c>
      <c r="BT806" t="str">
        <f>HYPERLINK("https%3A%2F%2Fwww.webofscience.com%2Fwos%2Fwoscc%2Ffull-record%2FWOS:000179634400002","View Full Record in Web of Science")</f>
        <v>View Full Record in Web of Science</v>
      </c>
    </row>
    <row r="807" spans="1:72" x14ac:dyDescent="0.15">
      <c r="A807" t="s">
        <v>552</v>
      </c>
      <c r="B807" t="s">
        <v>11203</v>
      </c>
      <c r="C807" t="s">
        <v>74</v>
      </c>
      <c r="D807" t="s">
        <v>74</v>
      </c>
      <c r="E807" t="s">
        <v>74</v>
      </c>
      <c r="F807" t="s">
        <v>11203</v>
      </c>
      <c r="G807" t="s">
        <v>74</v>
      </c>
      <c r="H807" t="s">
        <v>74</v>
      </c>
      <c r="I807" t="s">
        <v>11204</v>
      </c>
      <c r="J807" t="s">
        <v>6799</v>
      </c>
      <c r="K807" t="s">
        <v>74</v>
      </c>
      <c r="L807" t="s">
        <v>74</v>
      </c>
      <c r="M807" t="s">
        <v>78</v>
      </c>
      <c r="N807" t="s">
        <v>775</v>
      </c>
      <c r="O807" t="s">
        <v>74</v>
      </c>
      <c r="P807" t="s">
        <v>74</v>
      </c>
      <c r="Q807" t="s">
        <v>74</v>
      </c>
      <c r="R807" t="s">
        <v>74</v>
      </c>
      <c r="S807" t="s">
        <v>74</v>
      </c>
      <c r="T807" t="s">
        <v>11205</v>
      </c>
      <c r="U807" t="s">
        <v>11206</v>
      </c>
      <c r="V807" t="s">
        <v>11207</v>
      </c>
      <c r="W807" t="s">
        <v>11208</v>
      </c>
      <c r="X807" t="s">
        <v>11209</v>
      </c>
      <c r="Y807" t="s">
        <v>11210</v>
      </c>
      <c r="Z807" t="s">
        <v>11211</v>
      </c>
      <c r="AA807" t="s">
        <v>11212</v>
      </c>
      <c r="AB807" t="s">
        <v>74</v>
      </c>
      <c r="AC807" t="s">
        <v>74</v>
      </c>
      <c r="AD807" t="s">
        <v>74</v>
      </c>
      <c r="AE807" t="s">
        <v>74</v>
      </c>
      <c r="AF807" t="s">
        <v>74</v>
      </c>
      <c r="AG807">
        <v>37</v>
      </c>
      <c r="AH807">
        <v>42</v>
      </c>
      <c r="AI807">
        <v>48</v>
      </c>
      <c r="AJ807">
        <v>0</v>
      </c>
      <c r="AK807">
        <v>9</v>
      </c>
      <c r="AL807" t="s">
        <v>1860</v>
      </c>
      <c r="AM807" t="s">
        <v>1861</v>
      </c>
      <c r="AN807" t="s">
        <v>1862</v>
      </c>
      <c r="AO807" t="s">
        <v>6808</v>
      </c>
      <c r="AP807" t="s">
        <v>6825</v>
      </c>
      <c r="AQ807" t="s">
        <v>74</v>
      </c>
      <c r="AR807" t="s">
        <v>6809</v>
      </c>
      <c r="AS807" t="s">
        <v>6810</v>
      </c>
      <c r="AT807" t="s">
        <v>11213</v>
      </c>
      <c r="AU807">
        <v>2002</v>
      </c>
      <c r="AV807">
        <v>201</v>
      </c>
      <c r="AW807" t="s">
        <v>1424</v>
      </c>
      <c r="AX807" t="s">
        <v>74</v>
      </c>
      <c r="AY807" t="s">
        <v>74</v>
      </c>
      <c r="AZ807" t="s">
        <v>74</v>
      </c>
      <c r="BA807" t="s">
        <v>74</v>
      </c>
      <c r="BB807">
        <v>593</v>
      </c>
      <c r="BC807">
        <v>607</v>
      </c>
      <c r="BD807" t="s">
        <v>11214</v>
      </c>
      <c r="BE807" t="s">
        <v>11215</v>
      </c>
      <c r="BF807" t="str">
        <f>HYPERLINK("http://dx.doi.org/10.1016/S0012-821X(02)00727-6","http://dx.doi.org/10.1016/S0012-821X(02)00727-6")</f>
        <v>http://dx.doi.org/10.1016/S0012-821X(02)00727-6</v>
      </c>
      <c r="BG807" t="s">
        <v>74</v>
      </c>
      <c r="BH807" t="s">
        <v>74</v>
      </c>
      <c r="BI807">
        <v>15</v>
      </c>
      <c r="BJ807" t="s">
        <v>2068</v>
      </c>
      <c r="BK807" t="s">
        <v>569</v>
      </c>
      <c r="BL807" t="s">
        <v>2068</v>
      </c>
      <c r="BM807" t="s">
        <v>11216</v>
      </c>
      <c r="BN807" t="s">
        <v>74</v>
      </c>
      <c r="BO807" t="s">
        <v>74</v>
      </c>
      <c r="BP807" t="s">
        <v>74</v>
      </c>
      <c r="BQ807" t="s">
        <v>74</v>
      </c>
      <c r="BR807" t="s">
        <v>98</v>
      </c>
      <c r="BS807" t="s">
        <v>11217</v>
      </c>
      <c r="BT807" t="str">
        <f>HYPERLINK("https%3A%2F%2Fwww.webofscience.com%2Fwos%2Fwoscc%2Ffull-record%2FWOS:000177826100011","View Full Record in Web of Science")</f>
        <v>View Full Record in Web of Science</v>
      </c>
    </row>
    <row r="808" spans="1:72" x14ac:dyDescent="0.15">
      <c r="A808" t="s">
        <v>552</v>
      </c>
      <c r="B808" t="s">
        <v>11218</v>
      </c>
      <c r="C808" t="s">
        <v>74</v>
      </c>
      <c r="D808" t="s">
        <v>74</v>
      </c>
      <c r="E808" t="s">
        <v>74</v>
      </c>
      <c r="F808" t="s">
        <v>11218</v>
      </c>
      <c r="G808" t="s">
        <v>74</v>
      </c>
      <c r="H808" t="s">
        <v>74</v>
      </c>
      <c r="I808" t="s">
        <v>11219</v>
      </c>
      <c r="J808" t="s">
        <v>2007</v>
      </c>
      <c r="K808" t="s">
        <v>74</v>
      </c>
      <c r="L808" t="s">
        <v>74</v>
      </c>
      <c r="M808" t="s">
        <v>78</v>
      </c>
      <c r="N808" t="s">
        <v>775</v>
      </c>
      <c r="O808" t="s">
        <v>74</v>
      </c>
      <c r="P808" t="s">
        <v>74</v>
      </c>
      <c r="Q808" t="s">
        <v>74</v>
      </c>
      <c r="R808" t="s">
        <v>74</v>
      </c>
      <c r="S808" t="s">
        <v>74</v>
      </c>
      <c r="T808" t="s">
        <v>74</v>
      </c>
      <c r="U808" t="s">
        <v>11220</v>
      </c>
      <c r="V808" t="s">
        <v>11221</v>
      </c>
      <c r="W808" t="s">
        <v>11222</v>
      </c>
      <c r="X808" t="s">
        <v>11223</v>
      </c>
      <c r="Y808" t="s">
        <v>11224</v>
      </c>
      <c r="Z808" t="s">
        <v>74</v>
      </c>
      <c r="AA808" t="s">
        <v>11225</v>
      </c>
      <c r="AB808" t="s">
        <v>11226</v>
      </c>
      <c r="AC808" t="s">
        <v>74</v>
      </c>
      <c r="AD808" t="s">
        <v>74</v>
      </c>
      <c r="AE808" t="s">
        <v>74</v>
      </c>
      <c r="AF808" t="s">
        <v>74</v>
      </c>
      <c r="AG808">
        <v>38</v>
      </c>
      <c r="AH808">
        <v>130</v>
      </c>
      <c r="AI808">
        <v>145</v>
      </c>
      <c r="AJ808">
        <v>4</v>
      </c>
      <c r="AK808">
        <v>127</v>
      </c>
      <c r="AL808" t="s">
        <v>2014</v>
      </c>
      <c r="AM808" t="s">
        <v>388</v>
      </c>
      <c r="AN808" t="s">
        <v>2015</v>
      </c>
      <c r="AO808" t="s">
        <v>2016</v>
      </c>
      <c r="AP808" t="s">
        <v>74</v>
      </c>
      <c r="AQ808" t="s">
        <v>74</v>
      </c>
      <c r="AR808" t="s">
        <v>2017</v>
      </c>
      <c r="AS808" t="s">
        <v>2018</v>
      </c>
      <c r="AT808" t="s">
        <v>11213</v>
      </c>
      <c r="AU808">
        <v>2002</v>
      </c>
      <c r="AV808">
        <v>36</v>
      </c>
      <c r="AW808">
        <v>16</v>
      </c>
      <c r="AX808" t="s">
        <v>74</v>
      </c>
      <c r="AY808" t="s">
        <v>74</v>
      </c>
      <c r="AZ808" t="s">
        <v>74</v>
      </c>
      <c r="BA808" t="s">
        <v>74</v>
      </c>
      <c r="BB808">
        <v>3490</v>
      </c>
      <c r="BC808">
        <v>3496</v>
      </c>
      <c r="BD808" t="s">
        <v>74</v>
      </c>
      <c r="BE808" t="s">
        <v>11227</v>
      </c>
      <c r="BF808" t="str">
        <f>HYPERLINK("http://dx.doi.org/10.1021/es025511v","http://dx.doi.org/10.1021/es025511v")</f>
        <v>http://dx.doi.org/10.1021/es025511v</v>
      </c>
      <c r="BG808" t="s">
        <v>74</v>
      </c>
      <c r="BH808" t="s">
        <v>74</v>
      </c>
      <c r="BI808">
        <v>7</v>
      </c>
      <c r="BJ808" t="s">
        <v>2021</v>
      </c>
      <c r="BK808" t="s">
        <v>569</v>
      </c>
      <c r="BL808" t="s">
        <v>2022</v>
      </c>
      <c r="BM808" t="s">
        <v>11228</v>
      </c>
      <c r="BN808">
        <v>12214639</v>
      </c>
      <c r="BO808" t="s">
        <v>74</v>
      </c>
      <c r="BP808" t="s">
        <v>74</v>
      </c>
      <c r="BQ808" t="s">
        <v>74</v>
      </c>
      <c r="BR808" t="s">
        <v>98</v>
      </c>
      <c r="BS808" t="s">
        <v>11229</v>
      </c>
      <c r="BT808" t="str">
        <f>HYPERLINK("https%3A%2F%2Fwww.webofscience.com%2Fwos%2Fwoscc%2Ffull-record%2FWOS:000177448600005","View Full Record in Web of Science")</f>
        <v>View Full Record in Web of Science</v>
      </c>
    </row>
    <row r="809" spans="1:72" x14ac:dyDescent="0.15">
      <c r="A809" t="s">
        <v>552</v>
      </c>
      <c r="B809" t="s">
        <v>11230</v>
      </c>
      <c r="C809" t="s">
        <v>74</v>
      </c>
      <c r="D809" t="s">
        <v>74</v>
      </c>
      <c r="E809" t="s">
        <v>74</v>
      </c>
      <c r="F809" t="s">
        <v>11230</v>
      </c>
      <c r="G809" t="s">
        <v>74</v>
      </c>
      <c r="H809" t="s">
        <v>74</v>
      </c>
      <c r="I809" t="s">
        <v>11231</v>
      </c>
      <c r="J809" t="s">
        <v>5223</v>
      </c>
      <c r="K809" t="s">
        <v>74</v>
      </c>
      <c r="L809" t="s">
        <v>74</v>
      </c>
      <c r="M809" t="s">
        <v>78</v>
      </c>
      <c r="N809" t="s">
        <v>775</v>
      </c>
      <c r="O809" t="s">
        <v>74</v>
      </c>
      <c r="P809" t="s">
        <v>74</v>
      </c>
      <c r="Q809" t="s">
        <v>74</v>
      </c>
      <c r="R809" t="s">
        <v>74</v>
      </c>
      <c r="S809" t="s">
        <v>74</v>
      </c>
      <c r="T809" t="s">
        <v>11232</v>
      </c>
      <c r="U809" t="s">
        <v>11233</v>
      </c>
      <c r="V809" t="s">
        <v>11234</v>
      </c>
      <c r="W809" t="s">
        <v>11235</v>
      </c>
      <c r="X809" t="s">
        <v>11236</v>
      </c>
      <c r="Y809" t="s">
        <v>5486</v>
      </c>
      <c r="Z809" t="s">
        <v>11237</v>
      </c>
      <c r="AA809" t="s">
        <v>5488</v>
      </c>
      <c r="AB809" t="s">
        <v>5489</v>
      </c>
      <c r="AC809" t="s">
        <v>74</v>
      </c>
      <c r="AD809" t="s">
        <v>74</v>
      </c>
      <c r="AE809" t="s">
        <v>74</v>
      </c>
      <c r="AF809" t="s">
        <v>74</v>
      </c>
      <c r="AG809">
        <v>39</v>
      </c>
      <c r="AH809">
        <v>54</v>
      </c>
      <c r="AI809">
        <v>58</v>
      </c>
      <c r="AJ809">
        <v>1</v>
      </c>
      <c r="AK809">
        <v>6</v>
      </c>
      <c r="AL809" t="s">
        <v>387</v>
      </c>
      <c r="AM809" t="s">
        <v>388</v>
      </c>
      <c r="AN809" t="s">
        <v>389</v>
      </c>
      <c r="AO809" t="s">
        <v>5231</v>
      </c>
      <c r="AP809" t="s">
        <v>5232</v>
      </c>
      <c r="AQ809" t="s">
        <v>74</v>
      </c>
      <c r="AR809" t="s">
        <v>5233</v>
      </c>
      <c r="AS809" t="s">
        <v>5234</v>
      </c>
      <c r="AT809" t="s">
        <v>11213</v>
      </c>
      <c r="AU809">
        <v>2002</v>
      </c>
      <c r="AV809">
        <v>107</v>
      </c>
      <c r="AW809" t="s">
        <v>11199</v>
      </c>
      <c r="AX809" t="s">
        <v>74</v>
      </c>
      <c r="AY809" t="s">
        <v>74</v>
      </c>
      <c r="AZ809" t="s">
        <v>74</v>
      </c>
      <c r="BA809" t="s">
        <v>74</v>
      </c>
      <c r="BB809" t="s">
        <v>74</v>
      </c>
      <c r="BC809" t="s">
        <v>74</v>
      </c>
      <c r="BD809">
        <v>1168</v>
      </c>
      <c r="BE809" t="s">
        <v>11238</v>
      </c>
      <c r="BF809" t="str">
        <f>HYPERLINK("http://dx.doi.org/10.1029/2001JA000301","http://dx.doi.org/10.1029/2001JA000301")</f>
        <v>http://dx.doi.org/10.1029/2001JA000301</v>
      </c>
      <c r="BG809" t="s">
        <v>74</v>
      </c>
      <c r="BH809" t="s">
        <v>74</v>
      </c>
      <c r="BI809">
        <v>11</v>
      </c>
      <c r="BJ809" t="s">
        <v>4840</v>
      </c>
      <c r="BK809" t="s">
        <v>569</v>
      </c>
      <c r="BL809" t="s">
        <v>4840</v>
      </c>
      <c r="BM809" t="s">
        <v>11239</v>
      </c>
      <c r="BN809" t="s">
        <v>74</v>
      </c>
      <c r="BO809" t="s">
        <v>3274</v>
      </c>
      <c r="BP809" t="s">
        <v>74</v>
      </c>
      <c r="BQ809" t="s">
        <v>74</v>
      </c>
      <c r="BR809" t="s">
        <v>98</v>
      </c>
      <c r="BS809" t="s">
        <v>11240</v>
      </c>
      <c r="BT809" t="str">
        <f>HYPERLINK("https%3A%2F%2Fwww.webofscience.com%2Fwos%2Fwoscc%2Ffull-record%2FWOS:000179009600023","View Full Record in Web of Science")</f>
        <v>View Full Record in Web of Science</v>
      </c>
    </row>
    <row r="810" spans="1:72" x14ac:dyDescent="0.15">
      <c r="A810" t="s">
        <v>552</v>
      </c>
      <c r="B810" t="s">
        <v>11241</v>
      </c>
      <c r="C810" t="s">
        <v>74</v>
      </c>
      <c r="D810" t="s">
        <v>74</v>
      </c>
      <c r="E810" t="s">
        <v>74</v>
      </c>
      <c r="F810" t="s">
        <v>11241</v>
      </c>
      <c r="G810" t="s">
        <v>74</v>
      </c>
      <c r="H810" t="s">
        <v>74</v>
      </c>
      <c r="I810" t="s">
        <v>11242</v>
      </c>
      <c r="J810" t="s">
        <v>5223</v>
      </c>
      <c r="K810" t="s">
        <v>74</v>
      </c>
      <c r="L810" t="s">
        <v>74</v>
      </c>
      <c r="M810" t="s">
        <v>78</v>
      </c>
      <c r="N810" t="s">
        <v>775</v>
      </c>
      <c r="O810" t="s">
        <v>74</v>
      </c>
      <c r="P810" t="s">
        <v>74</v>
      </c>
      <c r="Q810" t="s">
        <v>74</v>
      </c>
      <c r="R810" t="s">
        <v>74</v>
      </c>
      <c r="S810" t="s">
        <v>74</v>
      </c>
      <c r="T810" t="s">
        <v>11243</v>
      </c>
      <c r="U810" t="s">
        <v>11244</v>
      </c>
      <c r="V810" t="s">
        <v>11245</v>
      </c>
      <c r="W810" t="s">
        <v>11246</v>
      </c>
      <c r="X810" t="s">
        <v>11247</v>
      </c>
      <c r="Y810" t="s">
        <v>11248</v>
      </c>
      <c r="Z810" t="s">
        <v>11249</v>
      </c>
      <c r="AA810" t="s">
        <v>11250</v>
      </c>
      <c r="AB810" t="s">
        <v>74</v>
      </c>
      <c r="AC810" t="s">
        <v>74</v>
      </c>
      <c r="AD810" t="s">
        <v>74</v>
      </c>
      <c r="AE810" t="s">
        <v>74</v>
      </c>
      <c r="AF810" t="s">
        <v>74</v>
      </c>
      <c r="AG810">
        <v>24</v>
      </c>
      <c r="AH810">
        <v>46</v>
      </c>
      <c r="AI810">
        <v>48</v>
      </c>
      <c r="AJ810">
        <v>0</v>
      </c>
      <c r="AK810">
        <v>3</v>
      </c>
      <c r="AL810" t="s">
        <v>387</v>
      </c>
      <c r="AM810" t="s">
        <v>388</v>
      </c>
      <c r="AN810" t="s">
        <v>389</v>
      </c>
      <c r="AO810" t="s">
        <v>5231</v>
      </c>
      <c r="AP810" t="s">
        <v>5232</v>
      </c>
      <c r="AQ810" t="s">
        <v>74</v>
      </c>
      <c r="AR810" t="s">
        <v>5233</v>
      </c>
      <c r="AS810" t="s">
        <v>5234</v>
      </c>
      <c r="AT810" t="s">
        <v>11213</v>
      </c>
      <c r="AU810">
        <v>2002</v>
      </c>
      <c r="AV810">
        <v>107</v>
      </c>
      <c r="AW810" t="s">
        <v>11199</v>
      </c>
      <c r="AX810" t="s">
        <v>74</v>
      </c>
      <c r="AY810" t="s">
        <v>74</v>
      </c>
      <c r="AZ810" t="s">
        <v>74</v>
      </c>
      <c r="BA810" t="s">
        <v>74</v>
      </c>
      <c r="BB810" t="s">
        <v>74</v>
      </c>
      <c r="BC810" t="s">
        <v>74</v>
      </c>
      <c r="BD810">
        <v>1153</v>
      </c>
      <c r="BE810" t="s">
        <v>11251</v>
      </c>
      <c r="BF810" t="str">
        <f>HYPERLINK("http://dx.doi.org/10.1029/2001JA000324","http://dx.doi.org/10.1029/2001JA000324")</f>
        <v>http://dx.doi.org/10.1029/2001JA000324</v>
      </c>
      <c r="BG810" t="s">
        <v>74</v>
      </c>
      <c r="BH810" t="s">
        <v>74</v>
      </c>
      <c r="BI810">
        <v>9</v>
      </c>
      <c r="BJ810" t="s">
        <v>4840</v>
      </c>
      <c r="BK810" t="s">
        <v>569</v>
      </c>
      <c r="BL810" t="s">
        <v>4840</v>
      </c>
      <c r="BM810" t="s">
        <v>11239</v>
      </c>
      <c r="BN810" t="s">
        <v>74</v>
      </c>
      <c r="BO810" t="s">
        <v>3260</v>
      </c>
      <c r="BP810" t="s">
        <v>74</v>
      </c>
      <c r="BQ810" t="s">
        <v>74</v>
      </c>
      <c r="BR810" t="s">
        <v>98</v>
      </c>
      <c r="BS810" t="s">
        <v>11252</v>
      </c>
      <c r="BT810" t="str">
        <f>HYPERLINK("https%3A%2F%2Fwww.webofscience.com%2Fwos%2Fwoscc%2Ffull-record%2FWOS:000179009600038","View Full Record in Web of Science")</f>
        <v>View Full Record in Web of Science</v>
      </c>
    </row>
    <row r="811" spans="1:72" x14ac:dyDescent="0.15">
      <c r="A811" t="s">
        <v>552</v>
      </c>
      <c r="B811" t="s">
        <v>11253</v>
      </c>
      <c r="C811" t="s">
        <v>74</v>
      </c>
      <c r="D811" t="s">
        <v>74</v>
      </c>
      <c r="E811" t="s">
        <v>74</v>
      </c>
      <c r="F811" t="s">
        <v>11253</v>
      </c>
      <c r="G811" t="s">
        <v>74</v>
      </c>
      <c r="H811" t="s">
        <v>74</v>
      </c>
      <c r="I811" t="s">
        <v>11254</v>
      </c>
      <c r="J811" t="s">
        <v>4134</v>
      </c>
      <c r="K811" t="s">
        <v>74</v>
      </c>
      <c r="L811" t="s">
        <v>74</v>
      </c>
      <c r="M811" t="s">
        <v>78</v>
      </c>
      <c r="N811" t="s">
        <v>775</v>
      </c>
      <c r="O811" t="s">
        <v>74</v>
      </c>
      <c r="P811" t="s">
        <v>74</v>
      </c>
      <c r="Q811" t="s">
        <v>74</v>
      </c>
      <c r="R811" t="s">
        <v>74</v>
      </c>
      <c r="S811" t="s">
        <v>74</v>
      </c>
      <c r="T811" t="s">
        <v>11255</v>
      </c>
      <c r="U811" t="s">
        <v>11256</v>
      </c>
      <c r="V811" t="s">
        <v>11257</v>
      </c>
      <c r="W811" t="s">
        <v>11258</v>
      </c>
      <c r="X811" t="s">
        <v>11259</v>
      </c>
      <c r="Y811" t="s">
        <v>11260</v>
      </c>
      <c r="Z811" t="s">
        <v>11261</v>
      </c>
      <c r="AA811" t="s">
        <v>74</v>
      </c>
      <c r="AB811" t="s">
        <v>11262</v>
      </c>
      <c r="AC811" t="s">
        <v>74</v>
      </c>
      <c r="AD811" t="s">
        <v>74</v>
      </c>
      <c r="AE811" t="s">
        <v>74</v>
      </c>
      <c r="AF811" t="s">
        <v>74</v>
      </c>
      <c r="AG811">
        <v>51</v>
      </c>
      <c r="AH811">
        <v>68</v>
      </c>
      <c r="AI811">
        <v>74</v>
      </c>
      <c r="AJ811">
        <v>1</v>
      </c>
      <c r="AK811">
        <v>16</v>
      </c>
      <c r="AL811" t="s">
        <v>1860</v>
      </c>
      <c r="AM811" t="s">
        <v>1861</v>
      </c>
      <c r="AN811" t="s">
        <v>1862</v>
      </c>
      <c r="AO811" t="s">
        <v>4142</v>
      </c>
      <c r="AP811" t="s">
        <v>74</v>
      </c>
      <c r="AQ811" t="s">
        <v>74</v>
      </c>
      <c r="AR811" t="s">
        <v>4143</v>
      </c>
      <c r="AS811" t="s">
        <v>4144</v>
      </c>
      <c r="AT811" t="s">
        <v>11213</v>
      </c>
      <c r="AU811">
        <v>2002</v>
      </c>
      <c r="AV811">
        <v>184</v>
      </c>
      <c r="AW811" t="s">
        <v>1424</v>
      </c>
      <c r="AX811" t="s">
        <v>74</v>
      </c>
      <c r="AY811" t="s">
        <v>74</v>
      </c>
      <c r="AZ811" t="s">
        <v>74</v>
      </c>
      <c r="BA811" t="s">
        <v>74</v>
      </c>
      <c r="BB811">
        <v>321</v>
      </c>
      <c r="BC811">
        <v>345</v>
      </c>
      <c r="BD811" t="s">
        <v>11263</v>
      </c>
      <c r="BE811" t="s">
        <v>11264</v>
      </c>
      <c r="BF811" t="str">
        <f>HYPERLINK("http://dx.doi.org/10.1016/S0031-0182(02)00261-4","http://dx.doi.org/10.1016/S0031-0182(02)00261-4")</f>
        <v>http://dx.doi.org/10.1016/S0031-0182(02)00261-4</v>
      </c>
      <c r="BG811" t="s">
        <v>74</v>
      </c>
      <c r="BH811" t="s">
        <v>74</v>
      </c>
      <c r="BI811">
        <v>25</v>
      </c>
      <c r="BJ811" t="s">
        <v>4147</v>
      </c>
      <c r="BK811" t="s">
        <v>569</v>
      </c>
      <c r="BL811" t="s">
        <v>4148</v>
      </c>
      <c r="BM811" t="s">
        <v>11265</v>
      </c>
      <c r="BN811" t="s">
        <v>74</v>
      </c>
      <c r="BO811" t="s">
        <v>74</v>
      </c>
      <c r="BP811" t="s">
        <v>74</v>
      </c>
      <c r="BQ811" t="s">
        <v>74</v>
      </c>
      <c r="BR811" t="s">
        <v>98</v>
      </c>
      <c r="BS811" t="s">
        <v>11266</v>
      </c>
      <c r="BT811" t="str">
        <f>HYPERLINK("https%3A%2F%2Fwww.webofscience.com%2Fwos%2Fwoscc%2Ffull-record%2FWOS:000177636200006","View Full Record in Web of Science")</f>
        <v>View Full Record in Web of Science</v>
      </c>
    </row>
    <row r="812" spans="1:72" x14ac:dyDescent="0.15">
      <c r="A812" t="s">
        <v>552</v>
      </c>
      <c r="B812" t="s">
        <v>11267</v>
      </c>
      <c r="C812" t="s">
        <v>74</v>
      </c>
      <c r="D812" t="s">
        <v>74</v>
      </c>
      <c r="E812" t="s">
        <v>74</v>
      </c>
      <c r="F812" t="s">
        <v>11267</v>
      </c>
      <c r="G812" t="s">
        <v>74</v>
      </c>
      <c r="H812" t="s">
        <v>74</v>
      </c>
      <c r="I812" t="s">
        <v>11268</v>
      </c>
      <c r="J812" t="s">
        <v>5495</v>
      </c>
      <c r="K812" t="s">
        <v>74</v>
      </c>
      <c r="L812" t="s">
        <v>74</v>
      </c>
      <c r="M812" t="s">
        <v>78</v>
      </c>
      <c r="N812" t="s">
        <v>775</v>
      </c>
      <c r="O812" t="s">
        <v>74</v>
      </c>
      <c r="P812" t="s">
        <v>74</v>
      </c>
      <c r="Q812" t="s">
        <v>74</v>
      </c>
      <c r="R812" t="s">
        <v>74</v>
      </c>
      <c r="S812" t="s">
        <v>74</v>
      </c>
      <c r="T812" t="s">
        <v>11269</v>
      </c>
      <c r="U812" t="s">
        <v>11270</v>
      </c>
      <c r="V812" t="s">
        <v>11271</v>
      </c>
      <c r="W812" t="s">
        <v>11272</v>
      </c>
      <c r="X812" t="s">
        <v>11273</v>
      </c>
      <c r="Y812" t="s">
        <v>11274</v>
      </c>
      <c r="Z812" t="s">
        <v>11275</v>
      </c>
      <c r="AA812" t="s">
        <v>11276</v>
      </c>
      <c r="AB812" t="s">
        <v>11277</v>
      </c>
      <c r="AC812" t="s">
        <v>74</v>
      </c>
      <c r="AD812" t="s">
        <v>74</v>
      </c>
      <c r="AE812" t="s">
        <v>74</v>
      </c>
      <c r="AF812" t="s">
        <v>74</v>
      </c>
      <c r="AG812">
        <v>63</v>
      </c>
      <c r="AH812">
        <v>26</v>
      </c>
      <c r="AI812">
        <v>29</v>
      </c>
      <c r="AJ812">
        <v>1</v>
      </c>
      <c r="AK812">
        <v>8</v>
      </c>
      <c r="AL812" t="s">
        <v>387</v>
      </c>
      <c r="AM812" t="s">
        <v>388</v>
      </c>
      <c r="AN812" t="s">
        <v>389</v>
      </c>
      <c r="AO812" t="s">
        <v>5505</v>
      </c>
      <c r="AP812" t="s">
        <v>5506</v>
      </c>
      <c r="AQ812" t="s">
        <v>74</v>
      </c>
      <c r="AR812" t="s">
        <v>5507</v>
      </c>
      <c r="AS812" t="s">
        <v>5508</v>
      </c>
      <c r="AT812" t="s">
        <v>11278</v>
      </c>
      <c r="AU812">
        <v>2002</v>
      </c>
      <c r="AV812">
        <v>107</v>
      </c>
      <c r="AW812" t="s">
        <v>11119</v>
      </c>
      <c r="AX812" t="s">
        <v>74</v>
      </c>
      <c r="AY812" t="s">
        <v>74</v>
      </c>
      <c r="AZ812" t="s">
        <v>74</v>
      </c>
      <c r="BA812" t="s">
        <v>74</v>
      </c>
      <c r="BB812" t="s">
        <v>74</v>
      </c>
      <c r="BC812" t="s">
        <v>74</v>
      </c>
      <c r="BD812">
        <v>2152</v>
      </c>
      <c r="BE812" t="s">
        <v>11279</v>
      </c>
      <c r="BF812" t="str">
        <f>HYPERLINK("http://dx.doi.org/10.1029/2001JB000475","http://dx.doi.org/10.1029/2001JB000475")</f>
        <v>http://dx.doi.org/10.1029/2001JB000475</v>
      </c>
      <c r="BG812" t="s">
        <v>74</v>
      </c>
      <c r="BH812" t="s">
        <v>74</v>
      </c>
      <c r="BI812">
        <v>16</v>
      </c>
      <c r="BJ812" t="s">
        <v>2068</v>
      </c>
      <c r="BK812" t="s">
        <v>569</v>
      </c>
      <c r="BL812" t="s">
        <v>2068</v>
      </c>
      <c r="BM812" t="s">
        <v>11280</v>
      </c>
      <c r="BN812" t="s">
        <v>74</v>
      </c>
      <c r="BO812" t="s">
        <v>1574</v>
      </c>
      <c r="BP812" t="s">
        <v>74</v>
      </c>
      <c r="BQ812" t="s">
        <v>74</v>
      </c>
      <c r="BR812" t="s">
        <v>98</v>
      </c>
      <c r="BS812" t="s">
        <v>11281</v>
      </c>
      <c r="BT812" t="str">
        <f>HYPERLINK("https%3A%2F%2Fwww.webofscience.com%2Fwos%2Fwoscc%2Ffull-record%2FWOS:000178993000009","View Full Record in Web of Science")</f>
        <v>View Full Record in Web of Science</v>
      </c>
    </row>
    <row r="813" spans="1:72" x14ac:dyDescent="0.15">
      <c r="A813" t="s">
        <v>552</v>
      </c>
      <c r="B813" t="s">
        <v>11282</v>
      </c>
      <c r="C813" t="s">
        <v>74</v>
      </c>
      <c r="D813" t="s">
        <v>74</v>
      </c>
      <c r="E813" t="s">
        <v>74</v>
      </c>
      <c r="F813" t="s">
        <v>11282</v>
      </c>
      <c r="G813" t="s">
        <v>74</v>
      </c>
      <c r="H813" t="s">
        <v>74</v>
      </c>
      <c r="I813" t="s">
        <v>11283</v>
      </c>
      <c r="J813" t="s">
        <v>11284</v>
      </c>
      <c r="K813" t="s">
        <v>74</v>
      </c>
      <c r="L813" t="s">
        <v>74</v>
      </c>
      <c r="M813" t="s">
        <v>78</v>
      </c>
      <c r="N813" t="s">
        <v>775</v>
      </c>
      <c r="O813" t="s">
        <v>74</v>
      </c>
      <c r="P813" t="s">
        <v>74</v>
      </c>
      <c r="Q813" t="s">
        <v>74</v>
      </c>
      <c r="R813" t="s">
        <v>74</v>
      </c>
      <c r="S813" t="s">
        <v>74</v>
      </c>
      <c r="T813" t="s">
        <v>74</v>
      </c>
      <c r="U813" t="s">
        <v>11285</v>
      </c>
      <c r="V813" t="s">
        <v>11286</v>
      </c>
      <c r="W813" t="s">
        <v>11287</v>
      </c>
      <c r="X813" t="s">
        <v>11288</v>
      </c>
      <c r="Y813" t="s">
        <v>11289</v>
      </c>
      <c r="Z813" t="s">
        <v>11290</v>
      </c>
      <c r="AA813" t="s">
        <v>11291</v>
      </c>
      <c r="AB813" t="s">
        <v>11292</v>
      </c>
      <c r="AC813" t="s">
        <v>74</v>
      </c>
      <c r="AD813" t="s">
        <v>74</v>
      </c>
      <c r="AE813" t="s">
        <v>74</v>
      </c>
      <c r="AF813" t="s">
        <v>74</v>
      </c>
      <c r="AG813">
        <v>36</v>
      </c>
      <c r="AH813">
        <v>74</v>
      </c>
      <c r="AI813">
        <v>90</v>
      </c>
      <c r="AJ813">
        <v>1</v>
      </c>
      <c r="AK813">
        <v>6</v>
      </c>
      <c r="AL813" t="s">
        <v>8566</v>
      </c>
      <c r="AM813" t="s">
        <v>8567</v>
      </c>
      <c r="AN813" t="s">
        <v>8568</v>
      </c>
      <c r="AO813" t="s">
        <v>11293</v>
      </c>
      <c r="AP813" t="s">
        <v>11294</v>
      </c>
      <c r="AQ813" t="s">
        <v>74</v>
      </c>
      <c r="AR813" t="s">
        <v>11295</v>
      </c>
      <c r="AS813" t="s">
        <v>11296</v>
      </c>
      <c r="AT813" t="s">
        <v>11297</v>
      </c>
      <c r="AU813">
        <v>2002</v>
      </c>
      <c r="AV813">
        <v>2</v>
      </c>
      <c r="AW813" t="s">
        <v>74</v>
      </c>
      <c r="AX813" t="s">
        <v>74</v>
      </c>
      <c r="AY813" t="s">
        <v>74</v>
      </c>
      <c r="AZ813" t="s">
        <v>74</v>
      </c>
      <c r="BA813" t="s">
        <v>74</v>
      </c>
      <c r="BB813">
        <v>197</v>
      </c>
      <c r="BC813">
        <v>205</v>
      </c>
      <c r="BD813" t="s">
        <v>74</v>
      </c>
      <c r="BE813" t="s">
        <v>11298</v>
      </c>
      <c r="BF813" t="str">
        <f>HYPERLINK("http://dx.doi.org/10.5194/acp-2-197-2002","http://dx.doi.org/10.5194/acp-2-197-2002")</f>
        <v>http://dx.doi.org/10.5194/acp-2-197-2002</v>
      </c>
      <c r="BG813" t="s">
        <v>74</v>
      </c>
      <c r="BH813" t="s">
        <v>74</v>
      </c>
      <c r="BI813">
        <v>9</v>
      </c>
      <c r="BJ813" t="s">
        <v>815</v>
      </c>
      <c r="BK813" t="s">
        <v>569</v>
      </c>
      <c r="BL813" t="s">
        <v>96</v>
      </c>
      <c r="BM813" t="s">
        <v>11299</v>
      </c>
      <c r="BN813" t="s">
        <v>74</v>
      </c>
      <c r="BO813" t="s">
        <v>5823</v>
      </c>
      <c r="BP813" t="s">
        <v>74</v>
      </c>
      <c r="BQ813" t="s">
        <v>74</v>
      </c>
      <c r="BR813" t="s">
        <v>98</v>
      </c>
      <c r="BS813" t="s">
        <v>11300</v>
      </c>
      <c r="BT813" t="str">
        <f>HYPERLINK("https%3A%2F%2Fwww.webofscience.com%2Fwos%2Fwoscc%2Ffull-record%2FWOS:000177879200001","View Full Record in Web of Science")</f>
        <v>View Full Record in Web of Science</v>
      </c>
    </row>
    <row r="814" spans="1:72" x14ac:dyDescent="0.15">
      <c r="A814" t="s">
        <v>552</v>
      </c>
      <c r="B814" t="s">
        <v>11301</v>
      </c>
      <c r="C814" t="s">
        <v>74</v>
      </c>
      <c r="D814" t="s">
        <v>74</v>
      </c>
      <c r="E814" t="s">
        <v>74</v>
      </c>
      <c r="F814" t="s">
        <v>11301</v>
      </c>
      <c r="G814" t="s">
        <v>74</v>
      </c>
      <c r="H814" t="s">
        <v>74</v>
      </c>
      <c r="I814" t="s">
        <v>11302</v>
      </c>
      <c r="J814" t="s">
        <v>8345</v>
      </c>
      <c r="K814" t="s">
        <v>74</v>
      </c>
      <c r="L814" t="s">
        <v>74</v>
      </c>
      <c r="M814" t="s">
        <v>78</v>
      </c>
      <c r="N814" t="s">
        <v>576</v>
      </c>
      <c r="O814" t="s">
        <v>11303</v>
      </c>
      <c r="P814" t="s">
        <v>11304</v>
      </c>
      <c r="Q814" t="s">
        <v>579</v>
      </c>
      <c r="R814" t="s">
        <v>74</v>
      </c>
      <c r="S814" t="s">
        <v>74</v>
      </c>
      <c r="T814" t="s">
        <v>11305</v>
      </c>
      <c r="U814" t="s">
        <v>11306</v>
      </c>
      <c r="V814" t="s">
        <v>11307</v>
      </c>
      <c r="W814" t="s">
        <v>11308</v>
      </c>
      <c r="X814" t="s">
        <v>11309</v>
      </c>
      <c r="Y814" t="s">
        <v>11310</v>
      </c>
      <c r="Z814" t="s">
        <v>74</v>
      </c>
      <c r="AA814" t="s">
        <v>11311</v>
      </c>
      <c r="AB814" t="s">
        <v>11312</v>
      </c>
      <c r="AC814" t="s">
        <v>74</v>
      </c>
      <c r="AD814" t="s">
        <v>74</v>
      </c>
      <c r="AE814" t="s">
        <v>74</v>
      </c>
      <c r="AF814" t="s">
        <v>74</v>
      </c>
      <c r="AG814">
        <v>21</v>
      </c>
      <c r="AH814">
        <v>66</v>
      </c>
      <c r="AI814">
        <v>72</v>
      </c>
      <c r="AJ814">
        <v>1</v>
      </c>
      <c r="AK814">
        <v>41</v>
      </c>
      <c r="AL814" t="s">
        <v>1860</v>
      </c>
      <c r="AM814" t="s">
        <v>1861</v>
      </c>
      <c r="AN814" t="s">
        <v>1862</v>
      </c>
      <c r="AO814" t="s">
        <v>8354</v>
      </c>
      <c r="AP814" t="s">
        <v>74</v>
      </c>
      <c r="AQ814" t="s">
        <v>74</v>
      </c>
      <c r="AR814" t="s">
        <v>8345</v>
      </c>
      <c r="AS814" t="s">
        <v>8356</v>
      </c>
      <c r="AT814" t="s">
        <v>11313</v>
      </c>
      <c r="AU814">
        <v>2002</v>
      </c>
      <c r="AV814">
        <v>295</v>
      </c>
      <c r="AW814">
        <v>2</v>
      </c>
      <c r="AX814" t="s">
        <v>74</v>
      </c>
      <c r="AY814" t="s">
        <v>74</v>
      </c>
      <c r="AZ814" t="s">
        <v>3067</v>
      </c>
      <c r="BA814" t="s">
        <v>74</v>
      </c>
      <c r="BB814">
        <v>185</v>
      </c>
      <c r="BC814">
        <v>191</v>
      </c>
      <c r="BD814" t="s">
        <v>11314</v>
      </c>
      <c r="BE814" t="s">
        <v>11315</v>
      </c>
      <c r="BF814" t="str">
        <f>HYPERLINK("http://dx.doi.org/10.1016/S0378-1119(02)00691-1","http://dx.doi.org/10.1016/S0378-1119(02)00691-1")</f>
        <v>http://dx.doi.org/10.1016/S0378-1119(02)00691-1</v>
      </c>
      <c r="BG814" t="s">
        <v>74</v>
      </c>
      <c r="BH814" t="s">
        <v>74</v>
      </c>
      <c r="BI814">
        <v>7</v>
      </c>
      <c r="BJ814" t="s">
        <v>8360</v>
      </c>
      <c r="BK814" t="s">
        <v>589</v>
      </c>
      <c r="BL814" t="s">
        <v>8360</v>
      </c>
      <c r="BM814" t="s">
        <v>11316</v>
      </c>
      <c r="BN814">
        <v>12354652</v>
      </c>
      <c r="BO814" t="s">
        <v>74</v>
      </c>
      <c r="BP814" t="s">
        <v>74</v>
      </c>
      <c r="BQ814" t="s">
        <v>74</v>
      </c>
      <c r="BR814" t="s">
        <v>98</v>
      </c>
      <c r="BS814" t="s">
        <v>11317</v>
      </c>
      <c r="BT814" t="str">
        <f>HYPERLINK("https%3A%2F%2Fwww.webofscience.com%2Fwos%2Fwoscc%2Ffull-record%2FWOS:000178762000005","View Full Record in Web of Science")</f>
        <v>View Full Record in Web of Science</v>
      </c>
    </row>
    <row r="815" spans="1:72" x14ac:dyDescent="0.15">
      <c r="A815" t="s">
        <v>552</v>
      </c>
      <c r="B815" t="s">
        <v>11318</v>
      </c>
      <c r="C815" t="s">
        <v>74</v>
      </c>
      <c r="D815" t="s">
        <v>74</v>
      </c>
      <c r="E815" t="s">
        <v>74</v>
      </c>
      <c r="F815" t="s">
        <v>11318</v>
      </c>
      <c r="G815" t="s">
        <v>74</v>
      </c>
      <c r="H815" t="s">
        <v>74</v>
      </c>
      <c r="I815" t="s">
        <v>11319</v>
      </c>
      <c r="J815" t="s">
        <v>8345</v>
      </c>
      <c r="K815" t="s">
        <v>74</v>
      </c>
      <c r="L815" t="s">
        <v>74</v>
      </c>
      <c r="M815" t="s">
        <v>78</v>
      </c>
      <c r="N815" t="s">
        <v>576</v>
      </c>
      <c r="O815" t="s">
        <v>11303</v>
      </c>
      <c r="P815" t="s">
        <v>11304</v>
      </c>
      <c r="Q815" t="s">
        <v>579</v>
      </c>
      <c r="R815" t="s">
        <v>74</v>
      </c>
      <c r="S815" t="s">
        <v>74</v>
      </c>
      <c r="T815" t="s">
        <v>11320</v>
      </c>
      <c r="U815" t="s">
        <v>11321</v>
      </c>
      <c r="V815" t="s">
        <v>11322</v>
      </c>
      <c r="W815" t="s">
        <v>11323</v>
      </c>
      <c r="X815" t="s">
        <v>11324</v>
      </c>
      <c r="Y815" t="s">
        <v>11325</v>
      </c>
      <c r="Z815" t="s">
        <v>11326</v>
      </c>
      <c r="AA815" t="s">
        <v>74</v>
      </c>
      <c r="AB815" t="s">
        <v>74</v>
      </c>
      <c r="AC815" t="s">
        <v>74</v>
      </c>
      <c r="AD815" t="s">
        <v>74</v>
      </c>
      <c r="AE815" t="s">
        <v>74</v>
      </c>
      <c r="AF815" t="s">
        <v>74</v>
      </c>
      <c r="AG815">
        <v>29</v>
      </c>
      <c r="AH815">
        <v>27</v>
      </c>
      <c r="AI815">
        <v>29</v>
      </c>
      <c r="AJ815">
        <v>0</v>
      </c>
      <c r="AK815">
        <v>5</v>
      </c>
      <c r="AL815" t="s">
        <v>3155</v>
      </c>
      <c r="AM815" t="s">
        <v>1861</v>
      </c>
      <c r="AN815" t="s">
        <v>3156</v>
      </c>
      <c r="AO815" t="s">
        <v>8354</v>
      </c>
      <c r="AP815" t="s">
        <v>8355</v>
      </c>
      <c r="AQ815" t="s">
        <v>74</v>
      </c>
      <c r="AR815" t="s">
        <v>8345</v>
      </c>
      <c r="AS815" t="s">
        <v>8356</v>
      </c>
      <c r="AT815" t="s">
        <v>11313</v>
      </c>
      <c r="AU815">
        <v>2002</v>
      </c>
      <c r="AV815">
        <v>295</v>
      </c>
      <c r="AW815">
        <v>2</v>
      </c>
      <c r="AX815" t="s">
        <v>74</v>
      </c>
      <c r="AY815" t="s">
        <v>74</v>
      </c>
      <c r="AZ815" t="s">
        <v>3067</v>
      </c>
      <c r="BA815" t="s">
        <v>74</v>
      </c>
      <c r="BB815">
        <v>193</v>
      </c>
      <c r="BC815">
        <v>198</v>
      </c>
      <c r="BD815" t="s">
        <v>11327</v>
      </c>
      <c r="BE815" t="s">
        <v>11328</v>
      </c>
      <c r="BF815" t="str">
        <f>HYPERLINK("http://dx.doi.org/10.1016/S0378-1119(02)00729-1","http://dx.doi.org/10.1016/S0378-1119(02)00729-1")</f>
        <v>http://dx.doi.org/10.1016/S0378-1119(02)00729-1</v>
      </c>
      <c r="BG815" t="s">
        <v>74</v>
      </c>
      <c r="BH815" t="s">
        <v>74</v>
      </c>
      <c r="BI815">
        <v>6</v>
      </c>
      <c r="BJ815" t="s">
        <v>8360</v>
      </c>
      <c r="BK815" t="s">
        <v>605</v>
      </c>
      <c r="BL815" t="s">
        <v>8360</v>
      </c>
      <c r="BM815" t="s">
        <v>11316</v>
      </c>
      <c r="BN815">
        <v>12354653</v>
      </c>
      <c r="BO815" t="s">
        <v>74</v>
      </c>
      <c r="BP815" t="s">
        <v>74</v>
      </c>
      <c r="BQ815" t="s">
        <v>74</v>
      </c>
      <c r="BR815" t="s">
        <v>98</v>
      </c>
      <c r="BS815" t="s">
        <v>11329</v>
      </c>
      <c r="BT815" t="str">
        <f>HYPERLINK("https%3A%2F%2Fwww.webofscience.com%2Fwos%2Fwoscc%2Ffull-record%2FWOS:000178762000006","View Full Record in Web of Science")</f>
        <v>View Full Record in Web of Science</v>
      </c>
    </row>
    <row r="816" spans="1:72" x14ac:dyDescent="0.15">
      <c r="A816" t="s">
        <v>552</v>
      </c>
      <c r="B816" t="s">
        <v>11330</v>
      </c>
      <c r="C816" t="s">
        <v>74</v>
      </c>
      <c r="D816" t="s">
        <v>74</v>
      </c>
      <c r="E816" t="s">
        <v>74</v>
      </c>
      <c r="F816" t="s">
        <v>11330</v>
      </c>
      <c r="G816" t="s">
        <v>74</v>
      </c>
      <c r="H816" t="s">
        <v>74</v>
      </c>
      <c r="I816" t="s">
        <v>11331</v>
      </c>
      <c r="J816" t="s">
        <v>8345</v>
      </c>
      <c r="K816" t="s">
        <v>74</v>
      </c>
      <c r="L816" t="s">
        <v>74</v>
      </c>
      <c r="M816" t="s">
        <v>78</v>
      </c>
      <c r="N816" t="s">
        <v>576</v>
      </c>
      <c r="O816" t="s">
        <v>11303</v>
      </c>
      <c r="P816" t="s">
        <v>11304</v>
      </c>
      <c r="Q816" t="s">
        <v>579</v>
      </c>
      <c r="R816" t="s">
        <v>74</v>
      </c>
      <c r="S816" t="s">
        <v>74</v>
      </c>
      <c r="T816" t="s">
        <v>11332</v>
      </c>
      <c r="U816" t="s">
        <v>11333</v>
      </c>
      <c r="V816" t="s">
        <v>11334</v>
      </c>
      <c r="W816" t="s">
        <v>180</v>
      </c>
      <c r="X816" t="s">
        <v>181</v>
      </c>
      <c r="Y816" t="s">
        <v>11335</v>
      </c>
      <c r="Z816" t="s">
        <v>11336</v>
      </c>
      <c r="AA816" t="s">
        <v>2111</v>
      </c>
      <c r="AB816" t="s">
        <v>74</v>
      </c>
      <c r="AC816" t="s">
        <v>74</v>
      </c>
      <c r="AD816" t="s">
        <v>74</v>
      </c>
      <c r="AE816" t="s">
        <v>74</v>
      </c>
      <c r="AF816" t="s">
        <v>74</v>
      </c>
      <c r="AG816">
        <v>29</v>
      </c>
      <c r="AH816">
        <v>15</v>
      </c>
      <c r="AI816">
        <v>16</v>
      </c>
      <c r="AJ816">
        <v>0</v>
      </c>
      <c r="AK816">
        <v>4</v>
      </c>
      <c r="AL816" t="s">
        <v>1860</v>
      </c>
      <c r="AM816" t="s">
        <v>1861</v>
      </c>
      <c r="AN816" t="s">
        <v>1862</v>
      </c>
      <c r="AO816" t="s">
        <v>8354</v>
      </c>
      <c r="AP816" t="s">
        <v>8355</v>
      </c>
      <c r="AQ816" t="s">
        <v>74</v>
      </c>
      <c r="AR816" t="s">
        <v>8345</v>
      </c>
      <c r="AS816" t="s">
        <v>8356</v>
      </c>
      <c r="AT816" t="s">
        <v>11313</v>
      </c>
      <c r="AU816">
        <v>2002</v>
      </c>
      <c r="AV816">
        <v>295</v>
      </c>
      <c r="AW816">
        <v>2</v>
      </c>
      <c r="AX816" t="s">
        <v>74</v>
      </c>
      <c r="AY816" t="s">
        <v>74</v>
      </c>
      <c r="AZ816" t="s">
        <v>3067</v>
      </c>
      <c r="BA816" t="s">
        <v>74</v>
      </c>
      <c r="BB816">
        <v>199</v>
      </c>
      <c r="BC816">
        <v>204</v>
      </c>
      <c r="BD816" t="s">
        <v>11337</v>
      </c>
      <c r="BE816" t="s">
        <v>11338</v>
      </c>
      <c r="BF816" t="str">
        <f>HYPERLINK("http://dx.doi.org/10.1016/S0378-1119(02)00686-8","http://dx.doi.org/10.1016/S0378-1119(02)00686-8")</f>
        <v>http://dx.doi.org/10.1016/S0378-1119(02)00686-8</v>
      </c>
      <c r="BG816" t="s">
        <v>74</v>
      </c>
      <c r="BH816" t="s">
        <v>74</v>
      </c>
      <c r="BI816">
        <v>6</v>
      </c>
      <c r="BJ816" t="s">
        <v>8360</v>
      </c>
      <c r="BK816" t="s">
        <v>605</v>
      </c>
      <c r="BL816" t="s">
        <v>8360</v>
      </c>
      <c r="BM816" t="s">
        <v>11316</v>
      </c>
      <c r="BN816">
        <v>12354654</v>
      </c>
      <c r="BO816" t="s">
        <v>74</v>
      </c>
      <c r="BP816" t="s">
        <v>74</v>
      </c>
      <c r="BQ816" t="s">
        <v>74</v>
      </c>
      <c r="BR816" t="s">
        <v>98</v>
      </c>
      <c r="BS816" t="s">
        <v>11339</v>
      </c>
      <c r="BT816" t="str">
        <f>HYPERLINK("https%3A%2F%2Fwww.webofscience.com%2Fwos%2Fwoscc%2Ffull-record%2FWOS:000178762000007","View Full Record in Web of Science")</f>
        <v>View Full Record in Web of Science</v>
      </c>
    </row>
    <row r="817" spans="1:72" x14ac:dyDescent="0.15">
      <c r="A817" t="s">
        <v>552</v>
      </c>
      <c r="B817" t="s">
        <v>11340</v>
      </c>
      <c r="C817" t="s">
        <v>74</v>
      </c>
      <c r="D817" t="s">
        <v>74</v>
      </c>
      <c r="E817" t="s">
        <v>74</v>
      </c>
      <c r="F817" t="s">
        <v>11340</v>
      </c>
      <c r="G817" t="s">
        <v>74</v>
      </c>
      <c r="H817" t="s">
        <v>74</v>
      </c>
      <c r="I817" t="s">
        <v>11341</v>
      </c>
      <c r="J817" t="s">
        <v>8345</v>
      </c>
      <c r="K817" t="s">
        <v>74</v>
      </c>
      <c r="L817" t="s">
        <v>74</v>
      </c>
      <c r="M817" t="s">
        <v>78</v>
      </c>
      <c r="N817" t="s">
        <v>576</v>
      </c>
      <c r="O817" t="s">
        <v>11303</v>
      </c>
      <c r="P817" t="s">
        <v>11304</v>
      </c>
      <c r="Q817" t="s">
        <v>579</v>
      </c>
      <c r="R817" t="s">
        <v>74</v>
      </c>
      <c r="S817" t="s">
        <v>74</v>
      </c>
      <c r="T817" t="s">
        <v>11342</v>
      </c>
      <c r="U817" t="s">
        <v>11343</v>
      </c>
      <c r="V817" t="s">
        <v>11344</v>
      </c>
      <c r="W817" t="s">
        <v>11345</v>
      </c>
      <c r="X817" t="s">
        <v>8350</v>
      </c>
      <c r="Y817" t="s">
        <v>11346</v>
      </c>
      <c r="Z817" t="s">
        <v>74</v>
      </c>
      <c r="AA817" t="s">
        <v>11347</v>
      </c>
      <c r="AB817" t="s">
        <v>11348</v>
      </c>
      <c r="AC817" t="s">
        <v>74</v>
      </c>
      <c r="AD817" t="s">
        <v>74</v>
      </c>
      <c r="AE817" t="s">
        <v>74</v>
      </c>
      <c r="AF817" t="s">
        <v>74</v>
      </c>
      <c r="AG817">
        <v>20</v>
      </c>
      <c r="AH817">
        <v>16</v>
      </c>
      <c r="AI817">
        <v>17</v>
      </c>
      <c r="AJ817">
        <v>0</v>
      </c>
      <c r="AK817">
        <v>1</v>
      </c>
      <c r="AL817" t="s">
        <v>1860</v>
      </c>
      <c r="AM817" t="s">
        <v>1861</v>
      </c>
      <c r="AN817" t="s">
        <v>1862</v>
      </c>
      <c r="AO817" t="s">
        <v>8354</v>
      </c>
      <c r="AP817" t="s">
        <v>74</v>
      </c>
      <c r="AQ817" t="s">
        <v>74</v>
      </c>
      <c r="AR817" t="s">
        <v>8345</v>
      </c>
      <c r="AS817" t="s">
        <v>8356</v>
      </c>
      <c r="AT817" t="s">
        <v>11313</v>
      </c>
      <c r="AU817">
        <v>2002</v>
      </c>
      <c r="AV817">
        <v>295</v>
      </c>
      <c r="AW817">
        <v>2</v>
      </c>
      <c r="AX817" t="s">
        <v>74</v>
      </c>
      <c r="AY817" t="s">
        <v>74</v>
      </c>
      <c r="AZ817" t="s">
        <v>3067</v>
      </c>
      <c r="BA817" t="s">
        <v>74</v>
      </c>
      <c r="BB817">
        <v>241</v>
      </c>
      <c r="BC817">
        <v>246</v>
      </c>
      <c r="BD817" t="s">
        <v>11349</v>
      </c>
      <c r="BE817" t="s">
        <v>11350</v>
      </c>
      <c r="BF817" t="str">
        <f>HYPERLINK("http://dx.doi.org/10.1016/S0378-1119(02)00683-2","http://dx.doi.org/10.1016/S0378-1119(02)00683-2")</f>
        <v>http://dx.doi.org/10.1016/S0378-1119(02)00683-2</v>
      </c>
      <c r="BG817" t="s">
        <v>74</v>
      </c>
      <c r="BH817" t="s">
        <v>74</v>
      </c>
      <c r="BI817">
        <v>6</v>
      </c>
      <c r="BJ817" t="s">
        <v>8360</v>
      </c>
      <c r="BK817" t="s">
        <v>589</v>
      </c>
      <c r="BL817" t="s">
        <v>8360</v>
      </c>
      <c r="BM817" t="s">
        <v>11316</v>
      </c>
      <c r="BN817">
        <v>12354659</v>
      </c>
      <c r="BO817" t="s">
        <v>74</v>
      </c>
      <c r="BP817" t="s">
        <v>74</v>
      </c>
      <c r="BQ817" t="s">
        <v>74</v>
      </c>
      <c r="BR817" t="s">
        <v>98</v>
      </c>
      <c r="BS817" t="s">
        <v>11351</v>
      </c>
      <c r="BT817" t="str">
        <f>HYPERLINK("https%3A%2F%2Fwww.webofscience.com%2Fwos%2Fwoscc%2Ffull-record%2FWOS:000178762000012","View Full Record in Web of Science")</f>
        <v>View Full Record in Web of Science</v>
      </c>
    </row>
    <row r="818" spans="1:72" x14ac:dyDescent="0.15">
      <c r="A818" t="s">
        <v>552</v>
      </c>
      <c r="B818" t="s">
        <v>9753</v>
      </c>
      <c r="C818" t="s">
        <v>74</v>
      </c>
      <c r="D818" t="s">
        <v>74</v>
      </c>
      <c r="E818" t="s">
        <v>74</v>
      </c>
      <c r="F818" t="s">
        <v>9753</v>
      </c>
      <c r="G818" t="s">
        <v>74</v>
      </c>
      <c r="H818" t="s">
        <v>74</v>
      </c>
      <c r="I818" t="s">
        <v>11352</v>
      </c>
      <c r="J818" t="s">
        <v>5690</v>
      </c>
      <c r="K818" t="s">
        <v>74</v>
      </c>
      <c r="L818" t="s">
        <v>74</v>
      </c>
      <c r="M818" t="s">
        <v>78</v>
      </c>
      <c r="N818" t="s">
        <v>775</v>
      </c>
      <c r="O818" t="s">
        <v>74</v>
      </c>
      <c r="P818" t="s">
        <v>74</v>
      </c>
      <c r="Q818" t="s">
        <v>74</v>
      </c>
      <c r="R818" t="s">
        <v>74</v>
      </c>
      <c r="S818" t="s">
        <v>74</v>
      </c>
      <c r="T818" t="s">
        <v>9756</v>
      </c>
      <c r="U818" t="s">
        <v>11353</v>
      </c>
      <c r="V818" t="s">
        <v>11354</v>
      </c>
      <c r="W818" t="s">
        <v>11355</v>
      </c>
      <c r="X818" t="s">
        <v>9760</v>
      </c>
      <c r="Y818" t="s">
        <v>11356</v>
      </c>
      <c r="Z818" t="s">
        <v>74</v>
      </c>
      <c r="AA818" t="s">
        <v>74</v>
      </c>
      <c r="AB818" t="s">
        <v>74</v>
      </c>
      <c r="AC818" t="s">
        <v>74</v>
      </c>
      <c r="AD818" t="s">
        <v>74</v>
      </c>
      <c r="AE818" t="s">
        <v>74</v>
      </c>
      <c r="AF818" t="s">
        <v>74</v>
      </c>
      <c r="AG818">
        <v>39</v>
      </c>
      <c r="AH818">
        <v>25</v>
      </c>
      <c r="AI818">
        <v>27</v>
      </c>
      <c r="AJ818">
        <v>0</v>
      </c>
      <c r="AK818">
        <v>13</v>
      </c>
      <c r="AL818" t="s">
        <v>1860</v>
      </c>
      <c r="AM818" t="s">
        <v>1861</v>
      </c>
      <c r="AN818" t="s">
        <v>1862</v>
      </c>
      <c r="AO818" t="s">
        <v>5700</v>
      </c>
      <c r="AP818" t="s">
        <v>74</v>
      </c>
      <c r="AQ818" t="s">
        <v>74</v>
      </c>
      <c r="AR818" t="s">
        <v>5702</v>
      </c>
      <c r="AS818" t="s">
        <v>5703</v>
      </c>
      <c r="AT818" t="s">
        <v>11357</v>
      </c>
      <c r="AU818">
        <v>2002</v>
      </c>
      <c r="AV818">
        <v>295</v>
      </c>
      <c r="AW818" t="s">
        <v>5705</v>
      </c>
      <c r="AX818" t="s">
        <v>74</v>
      </c>
      <c r="AY818" t="s">
        <v>74</v>
      </c>
      <c r="AZ818" t="s">
        <v>74</v>
      </c>
      <c r="BA818" t="s">
        <v>74</v>
      </c>
      <c r="BB818">
        <v>1</v>
      </c>
      <c r="BC818">
        <v>16</v>
      </c>
      <c r="BD818" t="s">
        <v>11358</v>
      </c>
      <c r="BE818" t="s">
        <v>11359</v>
      </c>
      <c r="BF818" t="str">
        <f>HYPERLINK("http://dx.doi.org/10.1016/S0048-9697(01)01147-0","http://dx.doi.org/10.1016/S0048-9697(01)01147-0")</f>
        <v>http://dx.doi.org/10.1016/S0048-9697(01)01147-0</v>
      </c>
      <c r="BG818" t="s">
        <v>74</v>
      </c>
      <c r="BH818" t="s">
        <v>74</v>
      </c>
      <c r="BI818">
        <v>16</v>
      </c>
      <c r="BJ818" t="s">
        <v>1194</v>
      </c>
      <c r="BK818" t="s">
        <v>569</v>
      </c>
      <c r="BL818" t="s">
        <v>1195</v>
      </c>
      <c r="BM818" t="s">
        <v>11360</v>
      </c>
      <c r="BN818">
        <v>12186279</v>
      </c>
      <c r="BO818" t="s">
        <v>74</v>
      </c>
      <c r="BP818" t="s">
        <v>74</v>
      </c>
      <c r="BQ818" t="s">
        <v>74</v>
      </c>
      <c r="BR818" t="s">
        <v>98</v>
      </c>
      <c r="BS818" t="s">
        <v>11361</v>
      </c>
      <c r="BT818" t="str">
        <f>HYPERLINK("https%3A%2F%2Fwww.webofscience.com%2Fwos%2Fwoscc%2Ffull-record%2FWOS:000177395000001","View Full Record in Web of Science")</f>
        <v>View Full Record in Web of Science</v>
      </c>
    </row>
    <row r="819" spans="1:72" x14ac:dyDescent="0.15">
      <c r="A819" t="s">
        <v>552</v>
      </c>
      <c r="B819" t="s">
        <v>11362</v>
      </c>
      <c r="C819" t="s">
        <v>74</v>
      </c>
      <c r="D819" t="s">
        <v>74</v>
      </c>
      <c r="E819" t="s">
        <v>74</v>
      </c>
      <c r="F819" t="s">
        <v>11362</v>
      </c>
      <c r="G819" t="s">
        <v>74</v>
      </c>
      <c r="H819" t="s">
        <v>74</v>
      </c>
      <c r="I819" t="s">
        <v>11363</v>
      </c>
      <c r="J819" t="s">
        <v>7140</v>
      </c>
      <c r="K819" t="s">
        <v>74</v>
      </c>
      <c r="L819" t="s">
        <v>74</v>
      </c>
      <c r="M819" t="s">
        <v>78</v>
      </c>
      <c r="N819" t="s">
        <v>775</v>
      </c>
      <c r="O819" t="s">
        <v>74</v>
      </c>
      <c r="P819" t="s">
        <v>74</v>
      </c>
      <c r="Q819" t="s">
        <v>74</v>
      </c>
      <c r="R819" t="s">
        <v>74</v>
      </c>
      <c r="S819" t="s">
        <v>74</v>
      </c>
      <c r="T819" t="s">
        <v>74</v>
      </c>
      <c r="U819" t="s">
        <v>11364</v>
      </c>
      <c r="V819" t="s">
        <v>11365</v>
      </c>
      <c r="W819" t="s">
        <v>11366</v>
      </c>
      <c r="X819" t="s">
        <v>11367</v>
      </c>
      <c r="Y819" t="s">
        <v>11368</v>
      </c>
      <c r="Z819" t="s">
        <v>11369</v>
      </c>
      <c r="AA819" t="s">
        <v>74</v>
      </c>
      <c r="AB819" t="s">
        <v>74</v>
      </c>
      <c r="AC819" t="s">
        <v>74</v>
      </c>
      <c r="AD819" t="s">
        <v>74</v>
      </c>
      <c r="AE819" t="s">
        <v>74</v>
      </c>
      <c r="AF819" t="s">
        <v>74</v>
      </c>
      <c r="AG819">
        <v>37</v>
      </c>
      <c r="AH819">
        <v>79</v>
      </c>
      <c r="AI819">
        <v>91</v>
      </c>
      <c r="AJ819">
        <v>0</v>
      </c>
      <c r="AK819">
        <v>39</v>
      </c>
      <c r="AL819" t="s">
        <v>2060</v>
      </c>
      <c r="AM819" t="s">
        <v>2061</v>
      </c>
      <c r="AN819" t="s">
        <v>2062</v>
      </c>
      <c r="AO819" t="s">
        <v>7144</v>
      </c>
      <c r="AP819" t="s">
        <v>7167</v>
      </c>
      <c r="AQ819" t="s">
        <v>74</v>
      </c>
      <c r="AR819" t="s">
        <v>7145</v>
      </c>
      <c r="AS819" t="s">
        <v>7146</v>
      </c>
      <c r="AT819" t="s">
        <v>11370</v>
      </c>
      <c r="AU819">
        <v>2002</v>
      </c>
      <c r="AV819">
        <v>34</v>
      </c>
      <c r="AW819">
        <v>3</v>
      </c>
      <c r="AX819" t="s">
        <v>74</v>
      </c>
      <c r="AY819" t="s">
        <v>74</v>
      </c>
      <c r="AZ819" t="s">
        <v>74</v>
      </c>
      <c r="BA819" t="s">
        <v>74</v>
      </c>
      <c r="BB819">
        <v>233</v>
      </c>
      <c r="BC819">
        <v>241</v>
      </c>
      <c r="BD819" t="s">
        <v>74</v>
      </c>
      <c r="BE819" t="s">
        <v>11371</v>
      </c>
      <c r="BF819" t="str">
        <f>HYPERLINK("http://dx.doi.org/10.2307/1552480","http://dx.doi.org/10.2307/1552480")</f>
        <v>http://dx.doi.org/10.2307/1552480</v>
      </c>
      <c r="BG819" t="s">
        <v>74</v>
      </c>
      <c r="BH819" t="s">
        <v>74</v>
      </c>
      <c r="BI819">
        <v>9</v>
      </c>
      <c r="BJ819" t="s">
        <v>7148</v>
      </c>
      <c r="BK819" t="s">
        <v>569</v>
      </c>
      <c r="BL819" t="s">
        <v>6275</v>
      </c>
      <c r="BM819" t="s">
        <v>11372</v>
      </c>
      <c r="BN819" t="s">
        <v>74</v>
      </c>
      <c r="BO819" t="s">
        <v>572</v>
      </c>
      <c r="BP819" t="s">
        <v>74</v>
      </c>
      <c r="BQ819" t="s">
        <v>74</v>
      </c>
      <c r="BR819" t="s">
        <v>98</v>
      </c>
      <c r="BS819" t="s">
        <v>11373</v>
      </c>
      <c r="BT819" t="str">
        <f>HYPERLINK("https%3A%2F%2Fwww.webofscience.com%2Fwos%2Fwoscc%2Ffull-record%2FWOS:000178100600001","View Full Record in Web of Science")</f>
        <v>View Full Record in Web of Science</v>
      </c>
    </row>
    <row r="820" spans="1:72" x14ac:dyDescent="0.15">
      <c r="A820" t="s">
        <v>552</v>
      </c>
      <c r="B820" t="s">
        <v>11374</v>
      </c>
      <c r="C820" t="s">
        <v>74</v>
      </c>
      <c r="D820" t="s">
        <v>74</v>
      </c>
      <c r="E820" t="s">
        <v>74</v>
      </c>
      <c r="F820" t="s">
        <v>11374</v>
      </c>
      <c r="G820" t="s">
        <v>74</v>
      </c>
      <c r="H820" t="s">
        <v>74</v>
      </c>
      <c r="I820" t="s">
        <v>11375</v>
      </c>
      <c r="J820" t="s">
        <v>7140</v>
      </c>
      <c r="K820" t="s">
        <v>74</v>
      </c>
      <c r="L820" t="s">
        <v>74</v>
      </c>
      <c r="M820" t="s">
        <v>78</v>
      </c>
      <c r="N820" t="s">
        <v>775</v>
      </c>
      <c r="O820" t="s">
        <v>74</v>
      </c>
      <c r="P820" t="s">
        <v>74</v>
      </c>
      <c r="Q820" t="s">
        <v>74</v>
      </c>
      <c r="R820" t="s">
        <v>74</v>
      </c>
      <c r="S820" t="s">
        <v>74</v>
      </c>
      <c r="T820" t="s">
        <v>74</v>
      </c>
      <c r="U820" t="s">
        <v>11376</v>
      </c>
      <c r="V820" t="s">
        <v>11377</v>
      </c>
      <c r="W820" t="s">
        <v>11378</v>
      </c>
      <c r="X820" t="s">
        <v>11379</v>
      </c>
      <c r="Y820" t="s">
        <v>11380</v>
      </c>
      <c r="Z820" t="s">
        <v>11381</v>
      </c>
      <c r="AA820" t="s">
        <v>74</v>
      </c>
      <c r="AB820" t="s">
        <v>74</v>
      </c>
      <c r="AC820" t="s">
        <v>74</v>
      </c>
      <c r="AD820" t="s">
        <v>74</v>
      </c>
      <c r="AE820" t="s">
        <v>74</v>
      </c>
      <c r="AF820" t="s">
        <v>74</v>
      </c>
      <c r="AG820">
        <v>64</v>
      </c>
      <c r="AH820">
        <v>61</v>
      </c>
      <c r="AI820">
        <v>66</v>
      </c>
      <c r="AJ820">
        <v>1</v>
      </c>
      <c r="AK820">
        <v>41</v>
      </c>
      <c r="AL820" t="s">
        <v>2060</v>
      </c>
      <c r="AM820" t="s">
        <v>2061</v>
      </c>
      <c r="AN820" t="s">
        <v>2062</v>
      </c>
      <c r="AO820" t="s">
        <v>7144</v>
      </c>
      <c r="AP820" t="s">
        <v>7167</v>
      </c>
      <c r="AQ820" t="s">
        <v>74</v>
      </c>
      <c r="AR820" t="s">
        <v>7145</v>
      </c>
      <c r="AS820" t="s">
        <v>7146</v>
      </c>
      <c r="AT820" t="s">
        <v>11370</v>
      </c>
      <c r="AU820">
        <v>2002</v>
      </c>
      <c r="AV820">
        <v>34</v>
      </c>
      <c r="AW820">
        <v>3</v>
      </c>
      <c r="AX820" t="s">
        <v>74</v>
      </c>
      <c r="AY820" t="s">
        <v>74</v>
      </c>
      <c r="AZ820" t="s">
        <v>74</v>
      </c>
      <c r="BA820" t="s">
        <v>74</v>
      </c>
      <c r="BB820">
        <v>242</v>
      </c>
      <c r="BC820">
        <v>250</v>
      </c>
      <c r="BD820" t="s">
        <v>74</v>
      </c>
      <c r="BE820" t="s">
        <v>11382</v>
      </c>
      <c r="BF820" t="str">
        <f>HYPERLINK("http://dx.doi.org/10.2307/1552481","http://dx.doi.org/10.2307/1552481")</f>
        <v>http://dx.doi.org/10.2307/1552481</v>
      </c>
      <c r="BG820" t="s">
        <v>74</v>
      </c>
      <c r="BH820" t="s">
        <v>74</v>
      </c>
      <c r="BI820">
        <v>9</v>
      </c>
      <c r="BJ820" t="s">
        <v>7148</v>
      </c>
      <c r="BK820" t="s">
        <v>569</v>
      </c>
      <c r="BL820" t="s">
        <v>6275</v>
      </c>
      <c r="BM820" t="s">
        <v>11372</v>
      </c>
      <c r="BN820" t="s">
        <v>74</v>
      </c>
      <c r="BO820" t="s">
        <v>572</v>
      </c>
      <c r="BP820" t="s">
        <v>74</v>
      </c>
      <c r="BQ820" t="s">
        <v>74</v>
      </c>
      <c r="BR820" t="s">
        <v>98</v>
      </c>
      <c r="BS820" t="s">
        <v>11383</v>
      </c>
      <c r="BT820" t="str">
        <f>HYPERLINK("https%3A%2F%2Fwww.webofscience.com%2Fwos%2Fwoscc%2Ffull-record%2FWOS:000178100600002","View Full Record in Web of Science")</f>
        <v>View Full Record in Web of Science</v>
      </c>
    </row>
    <row r="821" spans="1:72" x14ac:dyDescent="0.15">
      <c r="A821" t="s">
        <v>552</v>
      </c>
      <c r="B821" t="s">
        <v>11384</v>
      </c>
      <c r="C821" t="s">
        <v>74</v>
      </c>
      <c r="D821" t="s">
        <v>74</v>
      </c>
      <c r="E821" t="s">
        <v>74</v>
      </c>
      <c r="F821" t="s">
        <v>11384</v>
      </c>
      <c r="G821" t="s">
        <v>74</v>
      </c>
      <c r="H821" t="s">
        <v>74</v>
      </c>
      <c r="I821" t="s">
        <v>11385</v>
      </c>
      <c r="J821" t="s">
        <v>7140</v>
      </c>
      <c r="K821" t="s">
        <v>74</v>
      </c>
      <c r="L821" t="s">
        <v>74</v>
      </c>
      <c r="M821" t="s">
        <v>78</v>
      </c>
      <c r="N821" t="s">
        <v>775</v>
      </c>
      <c r="O821" t="s">
        <v>74</v>
      </c>
      <c r="P821" t="s">
        <v>74</v>
      </c>
      <c r="Q821" t="s">
        <v>74</v>
      </c>
      <c r="R821" t="s">
        <v>74</v>
      </c>
      <c r="S821" t="s">
        <v>74</v>
      </c>
      <c r="T821" t="s">
        <v>74</v>
      </c>
      <c r="U821" t="s">
        <v>11386</v>
      </c>
      <c r="V821" t="s">
        <v>11387</v>
      </c>
      <c r="W821" t="s">
        <v>11388</v>
      </c>
      <c r="X821" t="s">
        <v>11389</v>
      </c>
      <c r="Y821" t="s">
        <v>11390</v>
      </c>
      <c r="Z821" t="s">
        <v>11391</v>
      </c>
      <c r="AA821" t="s">
        <v>74</v>
      </c>
      <c r="AB821" t="s">
        <v>74</v>
      </c>
      <c r="AC821" t="s">
        <v>74</v>
      </c>
      <c r="AD821" t="s">
        <v>74</v>
      </c>
      <c r="AE821" t="s">
        <v>74</v>
      </c>
      <c r="AF821" t="s">
        <v>74</v>
      </c>
      <c r="AG821">
        <v>56</v>
      </c>
      <c r="AH821">
        <v>9</v>
      </c>
      <c r="AI821">
        <v>13</v>
      </c>
      <c r="AJ821">
        <v>0</v>
      </c>
      <c r="AK821">
        <v>27</v>
      </c>
      <c r="AL821" t="s">
        <v>2060</v>
      </c>
      <c r="AM821" t="s">
        <v>2061</v>
      </c>
      <c r="AN821" t="s">
        <v>2062</v>
      </c>
      <c r="AO821" t="s">
        <v>7144</v>
      </c>
      <c r="AP821" t="s">
        <v>7167</v>
      </c>
      <c r="AQ821" t="s">
        <v>74</v>
      </c>
      <c r="AR821" t="s">
        <v>7145</v>
      </c>
      <c r="AS821" t="s">
        <v>7146</v>
      </c>
      <c r="AT821" t="s">
        <v>11370</v>
      </c>
      <c r="AU821">
        <v>2002</v>
      </c>
      <c r="AV821">
        <v>34</v>
      </c>
      <c r="AW821">
        <v>3</v>
      </c>
      <c r="AX821" t="s">
        <v>74</v>
      </c>
      <c r="AY821" t="s">
        <v>74</v>
      </c>
      <c r="AZ821" t="s">
        <v>74</v>
      </c>
      <c r="BA821" t="s">
        <v>74</v>
      </c>
      <c r="BB821">
        <v>251</v>
      </c>
      <c r="BC821">
        <v>261</v>
      </c>
      <c r="BD821" t="s">
        <v>74</v>
      </c>
      <c r="BE821" t="s">
        <v>11392</v>
      </c>
      <c r="BF821" t="str">
        <f>HYPERLINK("http://dx.doi.org/10.2307/1552482","http://dx.doi.org/10.2307/1552482")</f>
        <v>http://dx.doi.org/10.2307/1552482</v>
      </c>
      <c r="BG821" t="s">
        <v>74</v>
      </c>
      <c r="BH821" t="s">
        <v>74</v>
      </c>
      <c r="BI821">
        <v>11</v>
      </c>
      <c r="BJ821" t="s">
        <v>7148</v>
      </c>
      <c r="BK821" t="s">
        <v>569</v>
      </c>
      <c r="BL821" t="s">
        <v>6275</v>
      </c>
      <c r="BM821" t="s">
        <v>11372</v>
      </c>
      <c r="BN821" t="s">
        <v>74</v>
      </c>
      <c r="BO821" t="s">
        <v>572</v>
      </c>
      <c r="BP821" t="s">
        <v>74</v>
      </c>
      <c r="BQ821" t="s">
        <v>74</v>
      </c>
      <c r="BR821" t="s">
        <v>98</v>
      </c>
      <c r="BS821" t="s">
        <v>11393</v>
      </c>
      <c r="BT821" t="str">
        <f>HYPERLINK("https%3A%2F%2Fwww.webofscience.com%2Fwos%2Fwoscc%2Ffull-record%2FWOS:000178100600003","View Full Record in Web of Science")</f>
        <v>View Full Record in Web of Science</v>
      </c>
    </row>
    <row r="822" spans="1:72" x14ac:dyDescent="0.15">
      <c r="A822" t="s">
        <v>552</v>
      </c>
      <c r="B822" t="s">
        <v>11394</v>
      </c>
      <c r="C822" t="s">
        <v>74</v>
      </c>
      <c r="D822" t="s">
        <v>74</v>
      </c>
      <c r="E822" t="s">
        <v>74</v>
      </c>
      <c r="F822" t="s">
        <v>11394</v>
      </c>
      <c r="G822" t="s">
        <v>74</v>
      </c>
      <c r="H822" t="s">
        <v>74</v>
      </c>
      <c r="I822" t="s">
        <v>11395</v>
      </c>
      <c r="J822" t="s">
        <v>7140</v>
      </c>
      <c r="K822" t="s">
        <v>74</v>
      </c>
      <c r="L822" t="s">
        <v>74</v>
      </c>
      <c r="M822" t="s">
        <v>78</v>
      </c>
      <c r="N822" t="s">
        <v>775</v>
      </c>
      <c r="O822" t="s">
        <v>74</v>
      </c>
      <c r="P822" t="s">
        <v>74</v>
      </c>
      <c r="Q822" t="s">
        <v>74</v>
      </c>
      <c r="R822" t="s">
        <v>74</v>
      </c>
      <c r="S822" t="s">
        <v>74</v>
      </c>
      <c r="T822" t="s">
        <v>74</v>
      </c>
      <c r="U822" t="s">
        <v>11396</v>
      </c>
      <c r="V822" t="s">
        <v>11397</v>
      </c>
      <c r="W822" t="s">
        <v>11398</v>
      </c>
      <c r="X822" t="s">
        <v>11399</v>
      </c>
      <c r="Y822" t="s">
        <v>11400</v>
      </c>
      <c r="Z822" t="s">
        <v>11401</v>
      </c>
      <c r="AA822" t="s">
        <v>74</v>
      </c>
      <c r="AB822" t="s">
        <v>74</v>
      </c>
      <c r="AC822" t="s">
        <v>74</v>
      </c>
      <c r="AD822" t="s">
        <v>74</v>
      </c>
      <c r="AE822" t="s">
        <v>74</v>
      </c>
      <c r="AF822" t="s">
        <v>74</v>
      </c>
      <c r="AG822">
        <v>46</v>
      </c>
      <c r="AH822">
        <v>143</v>
      </c>
      <c r="AI822">
        <v>174</v>
      </c>
      <c r="AJ822">
        <v>1</v>
      </c>
      <c r="AK822">
        <v>28</v>
      </c>
      <c r="AL822" t="s">
        <v>7141</v>
      </c>
      <c r="AM822" t="s">
        <v>7142</v>
      </c>
      <c r="AN822" t="s">
        <v>7143</v>
      </c>
      <c r="AO822" t="s">
        <v>7144</v>
      </c>
      <c r="AP822" t="s">
        <v>74</v>
      </c>
      <c r="AQ822" t="s">
        <v>74</v>
      </c>
      <c r="AR822" t="s">
        <v>7145</v>
      </c>
      <c r="AS822" t="s">
        <v>7146</v>
      </c>
      <c r="AT822" t="s">
        <v>11370</v>
      </c>
      <c r="AU822">
        <v>2002</v>
      </c>
      <c r="AV822">
        <v>34</v>
      </c>
      <c r="AW822">
        <v>3</v>
      </c>
      <c r="AX822" t="s">
        <v>74</v>
      </c>
      <c r="AY822" t="s">
        <v>74</v>
      </c>
      <c r="AZ822" t="s">
        <v>74</v>
      </c>
      <c r="BA822" t="s">
        <v>74</v>
      </c>
      <c r="BB822">
        <v>262</v>
      </c>
      <c r="BC822">
        <v>273</v>
      </c>
      <c r="BD822" t="s">
        <v>74</v>
      </c>
      <c r="BE822" t="s">
        <v>11402</v>
      </c>
      <c r="BF822" t="str">
        <f>HYPERLINK("http://dx.doi.org/10.2307/1552483","http://dx.doi.org/10.2307/1552483")</f>
        <v>http://dx.doi.org/10.2307/1552483</v>
      </c>
      <c r="BG822" t="s">
        <v>74</v>
      </c>
      <c r="BH822" t="s">
        <v>74</v>
      </c>
      <c r="BI822">
        <v>12</v>
      </c>
      <c r="BJ822" t="s">
        <v>7148</v>
      </c>
      <c r="BK822" t="s">
        <v>569</v>
      </c>
      <c r="BL822" t="s">
        <v>6275</v>
      </c>
      <c r="BM822" t="s">
        <v>11372</v>
      </c>
      <c r="BN822" t="s">
        <v>74</v>
      </c>
      <c r="BO822" t="s">
        <v>74</v>
      </c>
      <c r="BP822" t="s">
        <v>74</v>
      </c>
      <c r="BQ822" t="s">
        <v>74</v>
      </c>
      <c r="BR822" t="s">
        <v>98</v>
      </c>
      <c r="BS822" t="s">
        <v>11403</v>
      </c>
      <c r="BT822" t="str">
        <f>HYPERLINK("https%3A%2F%2Fwww.webofscience.com%2Fwos%2Fwoscc%2Ffull-record%2FWOS:000178100600004","View Full Record in Web of Science")</f>
        <v>View Full Record in Web of Science</v>
      </c>
    </row>
    <row r="823" spans="1:72" x14ac:dyDescent="0.15">
      <c r="A823" t="s">
        <v>552</v>
      </c>
      <c r="B823" t="s">
        <v>11404</v>
      </c>
      <c r="C823" t="s">
        <v>74</v>
      </c>
      <c r="D823" t="s">
        <v>74</v>
      </c>
      <c r="E823" t="s">
        <v>74</v>
      </c>
      <c r="F823" t="s">
        <v>11404</v>
      </c>
      <c r="G823" t="s">
        <v>74</v>
      </c>
      <c r="H823" t="s">
        <v>74</v>
      </c>
      <c r="I823" t="s">
        <v>11405</v>
      </c>
      <c r="J823" t="s">
        <v>7140</v>
      </c>
      <c r="K823" t="s">
        <v>74</v>
      </c>
      <c r="L823" t="s">
        <v>74</v>
      </c>
      <c r="M823" t="s">
        <v>78</v>
      </c>
      <c r="N823" t="s">
        <v>775</v>
      </c>
      <c r="O823" t="s">
        <v>74</v>
      </c>
      <c r="P823" t="s">
        <v>74</v>
      </c>
      <c r="Q823" t="s">
        <v>74</v>
      </c>
      <c r="R823" t="s">
        <v>74</v>
      </c>
      <c r="S823" t="s">
        <v>74</v>
      </c>
      <c r="T823" t="s">
        <v>74</v>
      </c>
      <c r="U823" t="s">
        <v>11406</v>
      </c>
      <c r="V823" t="s">
        <v>11407</v>
      </c>
      <c r="W823" t="s">
        <v>11408</v>
      </c>
      <c r="X823" t="s">
        <v>11409</v>
      </c>
      <c r="Y823" t="s">
        <v>11410</v>
      </c>
      <c r="Z823" t="s">
        <v>74</v>
      </c>
      <c r="AA823" t="s">
        <v>74</v>
      </c>
      <c r="AB823" t="s">
        <v>11411</v>
      </c>
      <c r="AC823" t="s">
        <v>74</v>
      </c>
      <c r="AD823" t="s">
        <v>74</v>
      </c>
      <c r="AE823" t="s">
        <v>74</v>
      </c>
      <c r="AF823" t="s">
        <v>74</v>
      </c>
      <c r="AG823">
        <v>40</v>
      </c>
      <c r="AH823">
        <v>32</v>
      </c>
      <c r="AI823">
        <v>34</v>
      </c>
      <c r="AJ823">
        <v>0</v>
      </c>
      <c r="AK823">
        <v>6</v>
      </c>
      <c r="AL823" t="s">
        <v>7141</v>
      </c>
      <c r="AM823" t="s">
        <v>7142</v>
      </c>
      <c r="AN823" t="s">
        <v>7143</v>
      </c>
      <c r="AO823" t="s">
        <v>7144</v>
      </c>
      <c r="AP823" t="s">
        <v>74</v>
      </c>
      <c r="AQ823" t="s">
        <v>74</v>
      </c>
      <c r="AR823" t="s">
        <v>7145</v>
      </c>
      <c r="AS823" t="s">
        <v>7146</v>
      </c>
      <c r="AT823" t="s">
        <v>11370</v>
      </c>
      <c r="AU823">
        <v>2002</v>
      </c>
      <c r="AV823">
        <v>34</v>
      </c>
      <c r="AW823">
        <v>3</v>
      </c>
      <c r="AX823" t="s">
        <v>74</v>
      </c>
      <c r="AY823" t="s">
        <v>74</v>
      </c>
      <c r="AZ823" t="s">
        <v>74</v>
      </c>
      <c r="BA823" t="s">
        <v>74</v>
      </c>
      <c r="BB823">
        <v>274</v>
      </c>
      <c r="BC823">
        <v>281</v>
      </c>
      <c r="BD823" t="s">
        <v>74</v>
      </c>
      <c r="BE823" t="s">
        <v>11412</v>
      </c>
      <c r="BF823" t="str">
        <f>HYPERLINK("http://dx.doi.org/10.2307/1552484","http://dx.doi.org/10.2307/1552484")</f>
        <v>http://dx.doi.org/10.2307/1552484</v>
      </c>
      <c r="BG823" t="s">
        <v>74</v>
      </c>
      <c r="BH823" t="s">
        <v>74</v>
      </c>
      <c r="BI823">
        <v>8</v>
      </c>
      <c r="BJ823" t="s">
        <v>7148</v>
      </c>
      <c r="BK823" t="s">
        <v>569</v>
      </c>
      <c r="BL823" t="s">
        <v>6275</v>
      </c>
      <c r="BM823" t="s">
        <v>11372</v>
      </c>
      <c r="BN823" t="s">
        <v>74</v>
      </c>
      <c r="BO823" t="s">
        <v>74</v>
      </c>
      <c r="BP823" t="s">
        <v>74</v>
      </c>
      <c r="BQ823" t="s">
        <v>74</v>
      </c>
      <c r="BR823" t="s">
        <v>98</v>
      </c>
      <c r="BS823" t="s">
        <v>11413</v>
      </c>
      <c r="BT823" t="str">
        <f>HYPERLINK("https%3A%2F%2Fwww.webofscience.com%2Fwos%2Fwoscc%2Ffull-record%2FWOS:000178100600005","View Full Record in Web of Science")</f>
        <v>View Full Record in Web of Science</v>
      </c>
    </row>
    <row r="824" spans="1:72" x14ac:dyDescent="0.15">
      <c r="A824" t="s">
        <v>552</v>
      </c>
      <c r="B824" t="s">
        <v>11414</v>
      </c>
      <c r="C824" t="s">
        <v>74</v>
      </c>
      <c r="D824" t="s">
        <v>74</v>
      </c>
      <c r="E824" t="s">
        <v>74</v>
      </c>
      <c r="F824" t="s">
        <v>11414</v>
      </c>
      <c r="G824" t="s">
        <v>74</v>
      </c>
      <c r="H824" t="s">
        <v>74</v>
      </c>
      <c r="I824" t="s">
        <v>11415</v>
      </c>
      <c r="J824" t="s">
        <v>7140</v>
      </c>
      <c r="K824" t="s">
        <v>74</v>
      </c>
      <c r="L824" t="s">
        <v>74</v>
      </c>
      <c r="M824" t="s">
        <v>78</v>
      </c>
      <c r="N824" t="s">
        <v>775</v>
      </c>
      <c r="O824" t="s">
        <v>74</v>
      </c>
      <c r="P824" t="s">
        <v>74</v>
      </c>
      <c r="Q824" t="s">
        <v>74</v>
      </c>
      <c r="R824" t="s">
        <v>74</v>
      </c>
      <c r="S824" t="s">
        <v>74</v>
      </c>
      <c r="T824" t="s">
        <v>74</v>
      </c>
      <c r="U824" t="s">
        <v>11416</v>
      </c>
      <c r="V824" t="s">
        <v>11417</v>
      </c>
      <c r="W824" t="s">
        <v>11418</v>
      </c>
      <c r="X824" t="s">
        <v>11419</v>
      </c>
      <c r="Y824" t="s">
        <v>11420</v>
      </c>
      <c r="Z824" t="s">
        <v>74</v>
      </c>
      <c r="AA824" t="s">
        <v>11421</v>
      </c>
      <c r="AB824" t="s">
        <v>74</v>
      </c>
      <c r="AC824" t="s">
        <v>74</v>
      </c>
      <c r="AD824" t="s">
        <v>74</v>
      </c>
      <c r="AE824" t="s">
        <v>74</v>
      </c>
      <c r="AF824" t="s">
        <v>74</v>
      </c>
      <c r="AG824">
        <v>35</v>
      </c>
      <c r="AH824">
        <v>15</v>
      </c>
      <c r="AI824">
        <v>19</v>
      </c>
      <c r="AJ824">
        <v>1</v>
      </c>
      <c r="AK824">
        <v>21</v>
      </c>
      <c r="AL824" t="s">
        <v>2060</v>
      </c>
      <c r="AM824" t="s">
        <v>2061</v>
      </c>
      <c r="AN824" t="s">
        <v>2062</v>
      </c>
      <c r="AO824" t="s">
        <v>7144</v>
      </c>
      <c r="AP824" t="s">
        <v>7167</v>
      </c>
      <c r="AQ824" t="s">
        <v>74</v>
      </c>
      <c r="AR824" t="s">
        <v>7145</v>
      </c>
      <c r="AS824" t="s">
        <v>7146</v>
      </c>
      <c r="AT824" t="s">
        <v>11370</v>
      </c>
      <c r="AU824">
        <v>2002</v>
      </c>
      <c r="AV824">
        <v>34</v>
      </c>
      <c r="AW824">
        <v>3</v>
      </c>
      <c r="AX824" t="s">
        <v>74</v>
      </c>
      <c r="AY824" t="s">
        <v>74</v>
      </c>
      <c r="AZ824" t="s">
        <v>74</v>
      </c>
      <c r="BA824" t="s">
        <v>74</v>
      </c>
      <c r="BB824">
        <v>282</v>
      </c>
      <c r="BC824">
        <v>286</v>
      </c>
      <c r="BD824" t="s">
        <v>74</v>
      </c>
      <c r="BE824" t="s">
        <v>11422</v>
      </c>
      <c r="BF824" t="str">
        <f>HYPERLINK("http://dx.doi.org/10.2307/1552485","http://dx.doi.org/10.2307/1552485")</f>
        <v>http://dx.doi.org/10.2307/1552485</v>
      </c>
      <c r="BG824" t="s">
        <v>74</v>
      </c>
      <c r="BH824" t="s">
        <v>74</v>
      </c>
      <c r="BI824">
        <v>5</v>
      </c>
      <c r="BJ824" t="s">
        <v>7148</v>
      </c>
      <c r="BK824" t="s">
        <v>569</v>
      </c>
      <c r="BL824" t="s">
        <v>6275</v>
      </c>
      <c r="BM824" t="s">
        <v>11372</v>
      </c>
      <c r="BN824" t="s">
        <v>74</v>
      </c>
      <c r="BO824" t="s">
        <v>572</v>
      </c>
      <c r="BP824" t="s">
        <v>74</v>
      </c>
      <c r="BQ824" t="s">
        <v>74</v>
      </c>
      <c r="BR824" t="s">
        <v>98</v>
      </c>
      <c r="BS824" t="s">
        <v>11423</v>
      </c>
      <c r="BT824" t="str">
        <f>HYPERLINK("https%3A%2F%2Fwww.webofscience.com%2Fwos%2Fwoscc%2Ffull-record%2FWOS:000178100600006","View Full Record in Web of Science")</f>
        <v>View Full Record in Web of Science</v>
      </c>
    </row>
    <row r="825" spans="1:72" x14ac:dyDescent="0.15">
      <c r="A825" t="s">
        <v>552</v>
      </c>
      <c r="B825" t="s">
        <v>11424</v>
      </c>
      <c r="C825" t="s">
        <v>74</v>
      </c>
      <c r="D825" t="s">
        <v>74</v>
      </c>
      <c r="E825" t="s">
        <v>74</v>
      </c>
      <c r="F825" t="s">
        <v>11424</v>
      </c>
      <c r="G825" t="s">
        <v>74</v>
      </c>
      <c r="H825" t="s">
        <v>74</v>
      </c>
      <c r="I825" t="s">
        <v>11425</v>
      </c>
      <c r="J825" t="s">
        <v>7140</v>
      </c>
      <c r="K825" t="s">
        <v>74</v>
      </c>
      <c r="L825" t="s">
        <v>74</v>
      </c>
      <c r="M825" t="s">
        <v>78</v>
      </c>
      <c r="N825" t="s">
        <v>775</v>
      </c>
      <c r="O825" t="s">
        <v>74</v>
      </c>
      <c r="P825" t="s">
        <v>74</v>
      </c>
      <c r="Q825" t="s">
        <v>74</v>
      </c>
      <c r="R825" t="s">
        <v>74</v>
      </c>
      <c r="S825" t="s">
        <v>74</v>
      </c>
      <c r="T825" t="s">
        <v>74</v>
      </c>
      <c r="U825" t="s">
        <v>11426</v>
      </c>
      <c r="V825" t="s">
        <v>11427</v>
      </c>
      <c r="W825" t="s">
        <v>11428</v>
      </c>
      <c r="X825" t="s">
        <v>11429</v>
      </c>
      <c r="Y825" t="s">
        <v>11430</v>
      </c>
      <c r="Z825" t="s">
        <v>74</v>
      </c>
      <c r="AA825" t="s">
        <v>11431</v>
      </c>
      <c r="AB825" t="s">
        <v>11432</v>
      </c>
      <c r="AC825" t="s">
        <v>74</v>
      </c>
      <c r="AD825" t="s">
        <v>74</v>
      </c>
      <c r="AE825" t="s">
        <v>74</v>
      </c>
      <c r="AF825" t="s">
        <v>74</v>
      </c>
      <c r="AG825">
        <v>32</v>
      </c>
      <c r="AH825">
        <v>39</v>
      </c>
      <c r="AI825">
        <v>45</v>
      </c>
      <c r="AJ825">
        <v>2</v>
      </c>
      <c r="AK825">
        <v>37</v>
      </c>
      <c r="AL825" t="s">
        <v>7141</v>
      </c>
      <c r="AM825" t="s">
        <v>7142</v>
      </c>
      <c r="AN825" t="s">
        <v>7143</v>
      </c>
      <c r="AO825" t="s">
        <v>7144</v>
      </c>
      <c r="AP825" t="s">
        <v>74</v>
      </c>
      <c r="AQ825" t="s">
        <v>74</v>
      </c>
      <c r="AR825" t="s">
        <v>7145</v>
      </c>
      <c r="AS825" t="s">
        <v>7146</v>
      </c>
      <c r="AT825" t="s">
        <v>11370</v>
      </c>
      <c r="AU825">
        <v>2002</v>
      </c>
      <c r="AV825">
        <v>34</v>
      </c>
      <c r="AW825">
        <v>3</v>
      </c>
      <c r="AX825" t="s">
        <v>74</v>
      </c>
      <c r="AY825" t="s">
        <v>74</v>
      </c>
      <c r="AZ825" t="s">
        <v>74</v>
      </c>
      <c r="BA825" t="s">
        <v>74</v>
      </c>
      <c r="BB825">
        <v>287</v>
      </c>
      <c r="BC825">
        <v>292</v>
      </c>
      <c r="BD825" t="s">
        <v>74</v>
      </c>
      <c r="BE825" t="s">
        <v>11433</v>
      </c>
      <c r="BF825" t="str">
        <f>HYPERLINK("http://dx.doi.org/10.2307/1552486","http://dx.doi.org/10.2307/1552486")</f>
        <v>http://dx.doi.org/10.2307/1552486</v>
      </c>
      <c r="BG825" t="s">
        <v>74</v>
      </c>
      <c r="BH825" t="s">
        <v>74</v>
      </c>
      <c r="BI825">
        <v>6</v>
      </c>
      <c r="BJ825" t="s">
        <v>7148</v>
      </c>
      <c r="BK825" t="s">
        <v>569</v>
      </c>
      <c r="BL825" t="s">
        <v>6275</v>
      </c>
      <c r="BM825" t="s">
        <v>11372</v>
      </c>
      <c r="BN825" t="s">
        <v>74</v>
      </c>
      <c r="BO825" t="s">
        <v>572</v>
      </c>
      <c r="BP825" t="s">
        <v>74</v>
      </c>
      <c r="BQ825" t="s">
        <v>74</v>
      </c>
      <c r="BR825" t="s">
        <v>98</v>
      </c>
      <c r="BS825" t="s">
        <v>11434</v>
      </c>
      <c r="BT825" t="str">
        <f>HYPERLINK("https%3A%2F%2Fwww.webofscience.com%2Fwos%2Fwoscc%2Ffull-record%2FWOS:000178100600007","View Full Record in Web of Science")</f>
        <v>View Full Record in Web of Science</v>
      </c>
    </row>
    <row r="826" spans="1:72" x14ac:dyDescent="0.15">
      <c r="A826" t="s">
        <v>552</v>
      </c>
      <c r="B826" t="s">
        <v>11435</v>
      </c>
      <c r="C826" t="s">
        <v>74</v>
      </c>
      <c r="D826" t="s">
        <v>74</v>
      </c>
      <c r="E826" t="s">
        <v>74</v>
      </c>
      <c r="F826" t="s">
        <v>11435</v>
      </c>
      <c r="G826" t="s">
        <v>74</v>
      </c>
      <c r="H826" t="s">
        <v>74</v>
      </c>
      <c r="I826" t="s">
        <v>11436</v>
      </c>
      <c r="J826" t="s">
        <v>7140</v>
      </c>
      <c r="K826" t="s">
        <v>74</v>
      </c>
      <c r="L826" t="s">
        <v>74</v>
      </c>
      <c r="M826" t="s">
        <v>78</v>
      </c>
      <c r="N826" t="s">
        <v>775</v>
      </c>
      <c r="O826" t="s">
        <v>74</v>
      </c>
      <c r="P826" t="s">
        <v>74</v>
      </c>
      <c r="Q826" t="s">
        <v>74</v>
      </c>
      <c r="R826" t="s">
        <v>74</v>
      </c>
      <c r="S826" t="s">
        <v>74</v>
      </c>
      <c r="T826" t="s">
        <v>74</v>
      </c>
      <c r="U826" t="s">
        <v>11437</v>
      </c>
      <c r="V826" t="s">
        <v>11438</v>
      </c>
      <c r="W826" t="s">
        <v>11439</v>
      </c>
      <c r="X826" t="s">
        <v>11440</v>
      </c>
      <c r="Y826" t="s">
        <v>11441</v>
      </c>
      <c r="Z826" t="s">
        <v>74</v>
      </c>
      <c r="AA826" t="s">
        <v>74</v>
      </c>
      <c r="AB826" t="s">
        <v>74</v>
      </c>
      <c r="AC826" t="s">
        <v>74</v>
      </c>
      <c r="AD826" t="s">
        <v>74</v>
      </c>
      <c r="AE826" t="s">
        <v>74</v>
      </c>
      <c r="AF826" t="s">
        <v>74</v>
      </c>
      <c r="AG826">
        <v>32</v>
      </c>
      <c r="AH826">
        <v>63</v>
      </c>
      <c r="AI826">
        <v>77</v>
      </c>
      <c r="AJ826">
        <v>2</v>
      </c>
      <c r="AK826">
        <v>50</v>
      </c>
      <c r="AL826" t="s">
        <v>7141</v>
      </c>
      <c r="AM826" t="s">
        <v>7142</v>
      </c>
      <c r="AN826" t="s">
        <v>7143</v>
      </c>
      <c r="AO826" t="s">
        <v>7144</v>
      </c>
      <c r="AP826" t="s">
        <v>74</v>
      </c>
      <c r="AQ826" t="s">
        <v>74</v>
      </c>
      <c r="AR826" t="s">
        <v>7145</v>
      </c>
      <c r="AS826" t="s">
        <v>7146</v>
      </c>
      <c r="AT826" t="s">
        <v>11370</v>
      </c>
      <c r="AU826">
        <v>2002</v>
      </c>
      <c r="AV826">
        <v>34</v>
      </c>
      <c r="AW826">
        <v>3</v>
      </c>
      <c r="AX826" t="s">
        <v>74</v>
      </c>
      <c r="AY826" t="s">
        <v>74</v>
      </c>
      <c r="AZ826" t="s">
        <v>74</v>
      </c>
      <c r="BA826" t="s">
        <v>74</v>
      </c>
      <c r="BB826">
        <v>293</v>
      </c>
      <c r="BC826">
        <v>299</v>
      </c>
      <c r="BD826" t="s">
        <v>74</v>
      </c>
      <c r="BE826" t="s">
        <v>11442</v>
      </c>
      <c r="BF826" t="str">
        <f>HYPERLINK("http://dx.doi.org/10.2307/1552487","http://dx.doi.org/10.2307/1552487")</f>
        <v>http://dx.doi.org/10.2307/1552487</v>
      </c>
      <c r="BG826" t="s">
        <v>74</v>
      </c>
      <c r="BH826" t="s">
        <v>74</v>
      </c>
      <c r="BI826">
        <v>7</v>
      </c>
      <c r="BJ826" t="s">
        <v>7148</v>
      </c>
      <c r="BK826" t="s">
        <v>569</v>
      </c>
      <c r="BL826" t="s">
        <v>6275</v>
      </c>
      <c r="BM826" t="s">
        <v>11372</v>
      </c>
      <c r="BN826" t="s">
        <v>74</v>
      </c>
      <c r="BO826" t="s">
        <v>572</v>
      </c>
      <c r="BP826" t="s">
        <v>74</v>
      </c>
      <c r="BQ826" t="s">
        <v>74</v>
      </c>
      <c r="BR826" t="s">
        <v>98</v>
      </c>
      <c r="BS826" t="s">
        <v>11443</v>
      </c>
      <c r="BT826" t="str">
        <f>HYPERLINK("https%3A%2F%2Fwww.webofscience.com%2Fwos%2Fwoscc%2Ffull-record%2FWOS:000178100600008","View Full Record in Web of Science")</f>
        <v>View Full Record in Web of Science</v>
      </c>
    </row>
    <row r="827" spans="1:72" x14ac:dyDescent="0.15">
      <c r="A827" t="s">
        <v>552</v>
      </c>
      <c r="B827" t="s">
        <v>11444</v>
      </c>
      <c r="C827" t="s">
        <v>74</v>
      </c>
      <c r="D827" t="s">
        <v>74</v>
      </c>
      <c r="E827" t="s">
        <v>74</v>
      </c>
      <c r="F827" t="s">
        <v>11444</v>
      </c>
      <c r="G827" t="s">
        <v>74</v>
      </c>
      <c r="H827" t="s">
        <v>74</v>
      </c>
      <c r="I827" t="s">
        <v>11445</v>
      </c>
      <c r="J827" t="s">
        <v>7140</v>
      </c>
      <c r="K827" t="s">
        <v>74</v>
      </c>
      <c r="L827" t="s">
        <v>74</v>
      </c>
      <c r="M827" t="s">
        <v>78</v>
      </c>
      <c r="N827" t="s">
        <v>775</v>
      </c>
      <c r="O827" t="s">
        <v>74</v>
      </c>
      <c r="P827" t="s">
        <v>74</v>
      </c>
      <c r="Q827" t="s">
        <v>74</v>
      </c>
      <c r="R827" t="s">
        <v>74</v>
      </c>
      <c r="S827" t="s">
        <v>74</v>
      </c>
      <c r="T827" t="s">
        <v>74</v>
      </c>
      <c r="U827" t="s">
        <v>74</v>
      </c>
      <c r="V827" t="s">
        <v>11446</v>
      </c>
      <c r="W827" t="s">
        <v>11447</v>
      </c>
      <c r="X827" t="s">
        <v>170</v>
      </c>
      <c r="Y827" t="s">
        <v>11448</v>
      </c>
      <c r="Z827" t="s">
        <v>74</v>
      </c>
      <c r="AA827" t="s">
        <v>74</v>
      </c>
      <c r="AB827" t="s">
        <v>11449</v>
      </c>
      <c r="AC827" t="s">
        <v>74</v>
      </c>
      <c r="AD827" t="s">
        <v>74</v>
      </c>
      <c r="AE827" t="s">
        <v>74</v>
      </c>
      <c r="AF827" t="s">
        <v>74</v>
      </c>
      <c r="AG827">
        <v>20</v>
      </c>
      <c r="AH827">
        <v>5</v>
      </c>
      <c r="AI827">
        <v>6</v>
      </c>
      <c r="AJ827">
        <v>0</v>
      </c>
      <c r="AK827">
        <v>20</v>
      </c>
      <c r="AL827" t="s">
        <v>7141</v>
      </c>
      <c r="AM827" t="s">
        <v>7142</v>
      </c>
      <c r="AN827" t="s">
        <v>7143</v>
      </c>
      <c r="AO827" t="s">
        <v>7144</v>
      </c>
      <c r="AP827" t="s">
        <v>74</v>
      </c>
      <c r="AQ827" t="s">
        <v>74</v>
      </c>
      <c r="AR827" t="s">
        <v>7145</v>
      </c>
      <c r="AS827" t="s">
        <v>7146</v>
      </c>
      <c r="AT827" t="s">
        <v>11370</v>
      </c>
      <c r="AU827">
        <v>2002</v>
      </c>
      <c r="AV827">
        <v>34</v>
      </c>
      <c r="AW827">
        <v>3</v>
      </c>
      <c r="AX827" t="s">
        <v>74</v>
      </c>
      <c r="AY827" t="s">
        <v>74</v>
      </c>
      <c r="AZ827" t="s">
        <v>74</v>
      </c>
      <c r="BA827" t="s">
        <v>74</v>
      </c>
      <c r="BB827">
        <v>300</v>
      </c>
      <c r="BC827">
        <v>307</v>
      </c>
      <c r="BD827" t="s">
        <v>74</v>
      </c>
      <c r="BE827" t="s">
        <v>11450</v>
      </c>
      <c r="BF827" t="str">
        <f>HYPERLINK("http://dx.doi.org/10.2307/1552488","http://dx.doi.org/10.2307/1552488")</f>
        <v>http://dx.doi.org/10.2307/1552488</v>
      </c>
      <c r="BG827" t="s">
        <v>74</v>
      </c>
      <c r="BH827" t="s">
        <v>74</v>
      </c>
      <c r="BI827">
        <v>8</v>
      </c>
      <c r="BJ827" t="s">
        <v>7148</v>
      </c>
      <c r="BK827" t="s">
        <v>569</v>
      </c>
      <c r="BL827" t="s">
        <v>6275</v>
      </c>
      <c r="BM827" t="s">
        <v>11372</v>
      </c>
      <c r="BN827" t="s">
        <v>74</v>
      </c>
      <c r="BO827" t="s">
        <v>590</v>
      </c>
      <c r="BP827" t="s">
        <v>74</v>
      </c>
      <c r="BQ827" t="s">
        <v>74</v>
      </c>
      <c r="BR827" t="s">
        <v>98</v>
      </c>
      <c r="BS827" t="s">
        <v>11451</v>
      </c>
      <c r="BT827" t="str">
        <f>HYPERLINK("https%3A%2F%2Fwww.webofscience.com%2Fwos%2Fwoscc%2Ffull-record%2FWOS:000178100600009","View Full Record in Web of Science")</f>
        <v>View Full Record in Web of Science</v>
      </c>
    </row>
    <row r="828" spans="1:72" x14ac:dyDescent="0.15">
      <c r="A828" t="s">
        <v>552</v>
      </c>
      <c r="B828" t="s">
        <v>11452</v>
      </c>
      <c r="C828" t="s">
        <v>74</v>
      </c>
      <c r="D828" t="s">
        <v>74</v>
      </c>
      <c r="E828" t="s">
        <v>74</v>
      </c>
      <c r="F828" t="s">
        <v>11452</v>
      </c>
      <c r="G828" t="s">
        <v>74</v>
      </c>
      <c r="H828" t="s">
        <v>74</v>
      </c>
      <c r="I828" t="s">
        <v>11453</v>
      </c>
      <c r="J828" t="s">
        <v>7140</v>
      </c>
      <c r="K828" t="s">
        <v>74</v>
      </c>
      <c r="L828" t="s">
        <v>74</v>
      </c>
      <c r="M828" t="s">
        <v>78</v>
      </c>
      <c r="N828" t="s">
        <v>775</v>
      </c>
      <c r="O828" t="s">
        <v>74</v>
      </c>
      <c r="P828" t="s">
        <v>74</v>
      </c>
      <c r="Q828" t="s">
        <v>74</v>
      </c>
      <c r="R828" t="s">
        <v>74</v>
      </c>
      <c r="S828" t="s">
        <v>74</v>
      </c>
      <c r="T828" t="s">
        <v>74</v>
      </c>
      <c r="U828" t="s">
        <v>11454</v>
      </c>
      <c r="V828" t="s">
        <v>11455</v>
      </c>
      <c r="W828" t="s">
        <v>11456</v>
      </c>
      <c r="X828" t="s">
        <v>11457</v>
      </c>
      <c r="Y828" t="s">
        <v>11458</v>
      </c>
      <c r="Z828" t="s">
        <v>11459</v>
      </c>
      <c r="AA828" t="s">
        <v>74</v>
      </c>
      <c r="AB828" t="s">
        <v>74</v>
      </c>
      <c r="AC828" t="s">
        <v>74</v>
      </c>
      <c r="AD828" t="s">
        <v>74</v>
      </c>
      <c r="AE828" t="s">
        <v>74</v>
      </c>
      <c r="AF828" t="s">
        <v>74</v>
      </c>
      <c r="AG828">
        <v>48</v>
      </c>
      <c r="AH828">
        <v>107</v>
      </c>
      <c r="AI828">
        <v>119</v>
      </c>
      <c r="AJ828">
        <v>0</v>
      </c>
      <c r="AK828">
        <v>30</v>
      </c>
      <c r="AL828" t="s">
        <v>7141</v>
      </c>
      <c r="AM828" t="s">
        <v>7142</v>
      </c>
      <c r="AN828" t="s">
        <v>7143</v>
      </c>
      <c r="AO828" t="s">
        <v>7144</v>
      </c>
      <c r="AP828" t="s">
        <v>7167</v>
      </c>
      <c r="AQ828" t="s">
        <v>74</v>
      </c>
      <c r="AR828" t="s">
        <v>7145</v>
      </c>
      <c r="AS828" t="s">
        <v>7146</v>
      </c>
      <c r="AT828" t="s">
        <v>11370</v>
      </c>
      <c r="AU828">
        <v>2002</v>
      </c>
      <c r="AV828">
        <v>34</v>
      </c>
      <c r="AW828">
        <v>3</v>
      </c>
      <c r="AX828" t="s">
        <v>74</v>
      </c>
      <c r="AY828" t="s">
        <v>74</v>
      </c>
      <c r="AZ828" t="s">
        <v>74</v>
      </c>
      <c r="BA828" t="s">
        <v>74</v>
      </c>
      <c r="BB828">
        <v>308</v>
      </c>
      <c r="BC828">
        <v>317</v>
      </c>
      <c r="BD828" t="s">
        <v>74</v>
      </c>
      <c r="BE828" t="s">
        <v>11460</v>
      </c>
      <c r="BF828" t="str">
        <f>HYPERLINK("http://dx.doi.org/10.2307/1552489","http://dx.doi.org/10.2307/1552489")</f>
        <v>http://dx.doi.org/10.2307/1552489</v>
      </c>
      <c r="BG828" t="s">
        <v>74</v>
      </c>
      <c r="BH828" t="s">
        <v>74</v>
      </c>
      <c r="BI828">
        <v>10</v>
      </c>
      <c r="BJ828" t="s">
        <v>7148</v>
      </c>
      <c r="BK828" t="s">
        <v>569</v>
      </c>
      <c r="BL828" t="s">
        <v>6275</v>
      </c>
      <c r="BM828" t="s">
        <v>11372</v>
      </c>
      <c r="BN828" t="s">
        <v>74</v>
      </c>
      <c r="BO828" t="s">
        <v>572</v>
      </c>
      <c r="BP828" t="s">
        <v>74</v>
      </c>
      <c r="BQ828" t="s">
        <v>74</v>
      </c>
      <c r="BR828" t="s">
        <v>98</v>
      </c>
      <c r="BS828" t="s">
        <v>11461</v>
      </c>
      <c r="BT828" t="str">
        <f>HYPERLINK("https%3A%2F%2Fwww.webofscience.com%2Fwos%2Fwoscc%2Ffull-record%2FWOS:000178100600010","View Full Record in Web of Science")</f>
        <v>View Full Record in Web of Science</v>
      </c>
    </row>
    <row r="829" spans="1:72" x14ac:dyDescent="0.15">
      <c r="A829" t="s">
        <v>552</v>
      </c>
      <c r="B829" t="s">
        <v>11462</v>
      </c>
      <c r="C829" t="s">
        <v>74</v>
      </c>
      <c r="D829" t="s">
        <v>74</v>
      </c>
      <c r="E829" t="s">
        <v>74</v>
      </c>
      <c r="F829" t="s">
        <v>11462</v>
      </c>
      <c r="G829" t="s">
        <v>74</v>
      </c>
      <c r="H829" t="s">
        <v>74</v>
      </c>
      <c r="I829" t="s">
        <v>11463</v>
      </c>
      <c r="J829" t="s">
        <v>7140</v>
      </c>
      <c r="K829" t="s">
        <v>74</v>
      </c>
      <c r="L829" t="s">
        <v>74</v>
      </c>
      <c r="M829" t="s">
        <v>78</v>
      </c>
      <c r="N829" t="s">
        <v>775</v>
      </c>
      <c r="O829" t="s">
        <v>74</v>
      </c>
      <c r="P829" t="s">
        <v>74</v>
      </c>
      <c r="Q829" t="s">
        <v>74</v>
      </c>
      <c r="R829" t="s">
        <v>74</v>
      </c>
      <c r="S829" t="s">
        <v>74</v>
      </c>
      <c r="T829" t="s">
        <v>74</v>
      </c>
      <c r="U829" t="s">
        <v>11464</v>
      </c>
      <c r="V829" t="s">
        <v>11465</v>
      </c>
      <c r="W829" t="s">
        <v>11466</v>
      </c>
      <c r="X829" t="s">
        <v>11467</v>
      </c>
      <c r="Y829" t="s">
        <v>11468</v>
      </c>
      <c r="Z829" t="s">
        <v>11469</v>
      </c>
      <c r="AA829" t="s">
        <v>74</v>
      </c>
      <c r="AB829" t="s">
        <v>11470</v>
      </c>
      <c r="AC829" t="s">
        <v>74</v>
      </c>
      <c r="AD829" t="s">
        <v>74</v>
      </c>
      <c r="AE829" t="s">
        <v>74</v>
      </c>
      <c r="AF829" t="s">
        <v>74</v>
      </c>
      <c r="AG829">
        <v>18</v>
      </c>
      <c r="AH829">
        <v>89</v>
      </c>
      <c r="AI829">
        <v>100</v>
      </c>
      <c r="AJ829">
        <v>3</v>
      </c>
      <c r="AK829">
        <v>10</v>
      </c>
      <c r="AL829" t="s">
        <v>7141</v>
      </c>
      <c r="AM829" t="s">
        <v>7142</v>
      </c>
      <c r="AN829" t="s">
        <v>7143</v>
      </c>
      <c r="AO829" t="s">
        <v>7144</v>
      </c>
      <c r="AP829" t="s">
        <v>7167</v>
      </c>
      <c r="AQ829" t="s">
        <v>74</v>
      </c>
      <c r="AR829" t="s">
        <v>7145</v>
      </c>
      <c r="AS829" t="s">
        <v>7146</v>
      </c>
      <c r="AT829" t="s">
        <v>11370</v>
      </c>
      <c r="AU829">
        <v>2002</v>
      </c>
      <c r="AV829">
        <v>34</v>
      </c>
      <c r="AW829">
        <v>3</v>
      </c>
      <c r="AX829" t="s">
        <v>74</v>
      </c>
      <c r="AY829" t="s">
        <v>74</v>
      </c>
      <c r="AZ829" t="s">
        <v>74</v>
      </c>
      <c r="BA829" t="s">
        <v>74</v>
      </c>
      <c r="BB829">
        <v>318</v>
      </c>
      <c r="BC829">
        <v>323</v>
      </c>
      <c r="BD829" t="s">
        <v>74</v>
      </c>
      <c r="BE829" t="s">
        <v>11471</v>
      </c>
      <c r="BF829" t="str">
        <f>HYPERLINK("http://dx.doi.org/10.2307/1552490","http://dx.doi.org/10.2307/1552490")</f>
        <v>http://dx.doi.org/10.2307/1552490</v>
      </c>
      <c r="BG829" t="s">
        <v>74</v>
      </c>
      <c r="BH829" t="s">
        <v>74</v>
      </c>
      <c r="BI829">
        <v>6</v>
      </c>
      <c r="BJ829" t="s">
        <v>7148</v>
      </c>
      <c r="BK829" t="s">
        <v>569</v>
      </c>
      <c r="BL829" t="s">
        <v>6275</v>
      </c>
      <c r="BM829" t="s">
        <v>11372</v>
      </c>
      <c r="BN829" t="s">
        <v>74</v>
      </c>
      <c r="BO829" t="s">
        <v>572</v>
      </c>
      <c r="BP829" t="s">
        <v>74</v>
      </c>
      <c r="BQ829" t="s">
        <v>74</v>
      </c>
      <c r="BR829" t="s">
        <v>98</v>
      </c>
      <c r="BS829" t="s">
        <v>11472</v>
      </c>
      <c r="BT829" t="str">
        <f>HYPERLINK("https%3A%2F%2Fwww.webofscience.com%2Fwos%2Fwoscc%2Ffull-record%2FWOS:000178100600011","View Full Record in Web of Science")</f>
        <v>View Full Record in Web of Science</v>
      </c>
    </row>
    <row r="830" spans="1:72" x14ac:dyDescent="0.15">
      <c r="A830" t="s">
        <v>552</v>
      </c>
      <c r="B830" t="s">
        <v>11473</v>
      </c>
      <c r="C830" t="s">
        <v>74</v>
      </c>
      <c r="D830" t="s">
        <v>74</v>
      </c>
      <c r="E830" t="s">
        <v>74</v>
      </c>
      <c r="F830" t="s">
        <v>11473</v>
      </c>
      <c r="G830" t="s">
        <v>74</v>
      </c>
      <c r="H830" t="s">
        <v>74</v>
      </c>
      <c r="I830" t="s">
        <v>11474</v>
      </c>
      <c r="J830" t="s">
        <v>7140</v>
      </c>
      <c r="K830" t="s">
        <v>74</v>
      </c>
      <c r="L830" t="s">
        <v>74</v>
      </c>
      <c r="M830" t="s">
        <v>78</v>
      </c>
      <c r="N830" t="s">
        <v>775</v>
      </c>
      <c r="O830" t="s">
        <v>74</v>
      </c>
      <c r="P830" t="s">
        <v>74</v>
      </c>
      <c r="Q830" t="s">
        <v>74</v>
      </c>
      <c r="R830" t="s">
        <v>74</v>
      </c>
      <c r="S830" t="s">
        <v>74</v>
      </c>
      <c r="T830" t="s">
        <v>74</v>
      </c>
      <c r="U830" t="s">
        <v>11475</v>
      </c>
      <c r="V830" t="s">
        <v>11476</v>
      </c>
      <c r="W830" t="s">
        <v>11477</v>
      </c>
      <c r="X830" t="s">
        <v>11478</v>
      </c>
      <c r="Y830" t="s">
        <v>11479</v>
      </c>
      <c r="Z830" t="s">
        <v>74</v>
      </c>
      <c r="AA830" t="s">
        <v>74</v>
      </c>
      <c r="AB830" t="s">
        <v>11480</v>
      </c>
      <c r="AC830" t="s">
        <v>74</v>
      </c>
      <c r="AD830" t="s">
        <v>74</v>
      </c>
      <c r="AE830" t="s">
        <v>74</v>
      </c>
      <c r="AF830" t="s">
        <v>74</v>
      </c>
      <c r="AG830">
        <v>40</v>
      </c>
      <c r="AH830">
        <v>53</v>
      </c>
      <c r="AI830">
        <v>66</v>
      </c>
      <c r="AJ830">
        <v>0</v>
      </c>
      <c r="AK830">
        <v>10</v>
      </c>
      <c r="AL830" t="s">
        <v>7141</v>
      </c>
      <c r="AM830" t="s">
        <v>7142</v>
      </c>
      <c r="AN830" t="s">
        <v>7143</v>
      </c>
      <c r="AO830" t="s">
        <v>7144</v>
      </c>
      <c r="AP830" t="s">
        <v>74</v>
      </c>
      <c r="AQ830" t="s">
        <v>74</v>
      </c>
      <c r="AR830" t="s">
        <v>7145</v>
      </c>
      <c r="AS830" t="s">
        <v>7146</v>
      </c>
      <c r="AT830" t="s">
        <v>11370</v>
      </c>
      <c r="AU830">
        <v>2002</v>
      </c>
      <c r="AV830">
        <v>34</v>
      </c>
      <c r="AW830">
        <v>3</v>
      </c>
      <c r="AX830" t="s">
        <v>74</v>
      </c>
      <c r="AY830" t="s">
        <v>74</v>
      </c>
      <c r="AZ830" t="s">
        <v>74</v>
      </c>
      <c r="BA830" t="s">
        <v>74</v>
      </c>
      <c r="BB830">
        <v>324</v>
      </c>
      <c r="BC830">
        <v>333</v>
      </c>
      <c r="BD830" t="s">
        <v>74</v>
      </c>
      <c r="BE830" t="s">
        <v>11481</v>
      </c>
      <c r="BF830" t="str">
        <f>HYPERLINK("http://dx.doi.org/10.2307/1552491","http://dx.doi.org/10.2307/1552491")</f>
        <v>http://dx.doi.org/10.2307/1552491</v>
      </c>
      <c r="BG830" t="s">
        <v>74</v>
      </c>
      <c r="BH830" t="s">
        <v>74</v>
      </c>
      <c r="BI830">
        <v>10</v>
      </c>
      <c r="BJ830" t="s">
        <v>7148</v>
      </c>
      <c r="BK830" t="s">
        <v>569</v>
      </c>
      <c r="BL830" t="s">
        <v>6275</v>
      </c>
      <c r="BM830" t="s">
        <v>11372</v>
      </c>
      <c r="BN830" t="s">
        <v>74</v>
      </c>
      <c r="BO830" t="s">
        <v>572</v>
      </c>
      <c r="BP830" t="s">
        <v>74</v>
      </c>
      <c r="BQ830" t="s">
        <v>74</v>
      </c>
      <c r="BR830" t="s">
        <v>98</v>
      </c>
      <c r="BS830" t="s">
        <v>11482</v>
      </c>
      <c r="BT830" t="str">
        <f>HYPERLINK("https%3A%2F%2Fwww.webofscience.com%2Fwos%2Fwoscc%2Ffull-record%2FWOS:000178100600012","View Full Record in Web of Science")</f>
        <v>View Full Record in Web of Science</v>
      </c>
    </row>
    <row r="831" spans="1:72" x14ac:dyDescent="0.15">
      <c r="A831" t="s">
        <v>552</v>
      </c>
      <c r="B831" t="s">
        <v>11483</v>
      </c>
      <c r="C831" t="s">
        <v>74</v>
      </c>
      <c r="D831" t="s">
        <v>74</v>
      </c>
      <c r="E831" t="s">
        <v>74</v>
      </c>
      <c r="F831" t="s">
        <v>11483</v>
      </c>
      <c r="G831" t="s">
        <v>74</v>
      </c>
      <c r="H831" t="s">
        <v>74</v>
      </c>
      <c r="I831" t="s">
        <v>11484</v>
      </c>
      <c r="J831" t="s">
        <v>7140</v>
      </c>
      <c r="K831" t="s">
        <v>74</v>
      </c>
      <c r="L831" t="s">
        <v>74</v>
      </c>
      <c r="M831" t="s">
        <v>78</v>
      </c>
      <c r="N831" t="s">
        <v>775</v>
      </c>
      <c r="O831" t="s">
        <v>74</v>
      </c>
      <c r="P831" t="s">
        <v>74</v>
      </c>
      <c r="Q831" t="s">
        <v>74</v>
      </c>
      <c r="R831" t="s">
        <v>74</v>
      </c>
      <c r="S831" t="s">
        <v>74</v>
      </c>
      <c r="T831" t="s">
        <v>74</v>
      </c>
      <c r="U831" t="s">
        <v>11485</v>
      </c>
      <c r="V831" t="s">
        <v>11486</v>
      </c>
      <c r="W831" t="s">
        <v>11487</v>
      </c>
      <c r="X831" t="s">
        <v>11488</v>
      </c>
      <c r="Y831" t="s">
        <v>11489</v>
      </c>
      <c r="Z831" t="s">
        <v>74</v>
      </c>
      <c r="AA831" t="s">
        <v>74</v>
      </c>
      <c r="AB831" t="s">
        <v>74</v>
      </c>
      <c r="AC831" t="s">
        <v>74</v>
      </c>
      <c r="AD831" t="s">
        <v>74</v>
      </c>
      <c r="AE831" t="s">
        <v>74</v>
      </c>
      <c r="AF831" t="s">
        <v>74</v>
      </c>
      <c r="AG831">
        <v>44</v>
      </c>
      <c r="AH831">
        <v>8</v>
      </c>
      <c r="AI831">
        <v>8</v>
      </c>
      <c r="AJ831">
        <v>0</v>
      </c>
      <c r="AK831">
        <v>10</v>
      </c>
      <c r="AL831" t="s">
        <v>7141</v>
      </c>
      <c r="AM831" t="s">
        <v>7142</v>
      </c>
      <c r="AN831" t="s">
        <v>7143</v>
      </c>
      <c r="AO831" t="s">
        <v>7144</v>
      </c>
      <c r="AP831" t="s">
        <v>74</v>
      </c>
      <c r="AQ831" t="s">
        <v>74</v>
      </c>
      <c r="AR831" t="s">
        <v>7145</v>
      </c>
      <c r="AS831" t="s">
        <v>7146</v>
      </c>
      <c r="AT831" t="s">
        <v>11370</v>
      </c>
      <c r="AU831">
        <v>2002</v>
      </c>
      <c r="AV831">
        <v>34</v>
      </c>
      <c r="AW831">
        <v>3</v>
      </c>
      <c r="AX831" t="s">
        <v>74</v>
      </c>
      <c r="AY831" t="s">
        <v>74</v>
      </c>
      <c r="AZ831" t="s">
        <v>74</v>
      </c>
      <c r="BA831" t="s">
        <v>74</v>
      </c>
      <c r="BB831">
        <v>334</v>
      </c>
      <c r="BC831">
        <v>344</v>
      </c>
      <c r="BD831" t="s">
        <v>74</v>
      </c>
      <c r="BE831" t="s">
        <v>11490</v>
      </c>
      <c r="BF831" t="str">
        <f>HYPERLINK("http://dx.doi.org/10.2307/1552492","http://dx.doi.org/10.2307/1552492")</f>
        <v>http://dx.doi.org/10.2307/1552492</v>
      </c>
      <c r="BG831" t="s">
        <v>74</v>
      </c>
      <c r="BH831" t="s">
        <v>74</v>
      </c>
      <c r="BI831">
        <v>11</v>
      </c>
      <c r="BJ831" t="s">
        <v>7148</v>
      </c>
      <c r="BK831" t="s">
        <v>569</v>
      </c>
      <c r="BL831" t="s">
        <v>6275</v>
      </c>
      <c r="BM831" t="s">
        <v>11372</v>
      </c>
      <c r="BN831" t="s">
        <v>74</v>
      </c>
      <c r="BO831" t="s">
        <v>74</v>
      </c>
      <c r="BP831" t="s">
        <v>74</v>
      </c>
      <c r="BQ831" t="s">
        <v>74</v>
      </c>
      <c r="BR831" t="s">
        <v>98</v>
      </c>
      <c r="BS831" t="s">
        <v>11491</v>
      </c>
      <c r="BT831" t="str">
        <f>HYPERLINK("https%3A%2F%2Fwww.webofscience.com%2Fwos%2Fwoscc%2Ffull-record%2FWOS:000178100600013","View Full Record in Web of Science")</f>
        <v>View Full Record in Web of Science</v>
      </c>
    </row>
    <row r="832" spans="1:72" x14ac:dyDescent="0.15">
      <c r="A832" t="s">
        <v>552</v>
      </c>
      <c r="B832" t="s">
        <v>7286</v>
      </c>
      <c r="C832" t="s">
        <v>74</v>
      </c>
      <c r="D832" t="s">
        <v>74</v>
      </c>
      <c r="E832" t="s">
        <v>74</v>
      </c>
      <c r="F832" t="s">
        <v>7286</v>
      </c>
      <c r="G832" t="s">
        <v>74</v>
      </c>
      <c r="H832" t="s">
        <v>74</v>
      </c>
      <c r="I832" t="s">
        <v>11492</v>
      </c>
      <c r="J832" t="s">
        <v>7140</v>
      </c>
      <c r="K832" t="s">
        <v>74</v>
      </c>
      <c r="L832" t="s">
        <v>74</v>
      </c>
      <c r="M832" t="s">
        <v>78</v>
      </c>
      <c r="N832" t="s">
        <v>775</v>
      </c>
      <c r="O832" t="s">
        <v>74</v>
      </c>
      <c r="P832" t="s">
        <v>74</v>
      </c>
      <c r="Q832" t="s">
        <v>74</v>
      </c>
      <c r="R832" t="s">
        <v>74</v>
      </c>
      <c r="S832" t="s">
        <v>74</v>
      </c>
      <c r="T832" t="s">
        <v>74</v>
      </c>
      <c r="U832" t="s">
        <v>11493</v>
      </c>
      <c r="V832" t="s">
        <v>11494</v>
      </c>
      <c r="W832" t="s">
        <v>11495</v>
      </c>
      <c r="X832" t="s">
        <v>11496</v>
      </c>
      <c r="Y832" t="s">
        <v>11497</v>
      </c>
      <c r="Z832" t="s">
        <v>74</v>
      </c>
      <c r="AA832" t="s">
        <v>74</v>
      </c>
      <c r="AB832" t="s">
        <v>74</v>
      </c>
      <c r="AC832" t="s">
        <v>74</v>
      </c>
      <c r="AD832" t="s">
        <v>74</v>
      </c>
      <c r="AE832" t="s">
        <v>74</v>
      </c>
      <c r="AF832" t="s">
        <v>74</v>
      </c>
      <c r="AG832">
        <v>54</v>
      </c>
      <c r="AH832">
        <v>12</v>
      </c>
      <c r="AI832">
        <v>12</v>
      </c>
      <c r="AJ832">
        <v>0</v>
      </c>
      <c r="AK832">
        <v>6</v>
      </c>
      <c r="AL832" t="s">
        <v>7141</v>
      </c>
      <c r="AM832" t="s">
        <v>7142</v>
      </c>
      <c r="AN832" t="s">
        <v>7143</v>
      </c>
      <c r="AO832" t="s">
        <v>7144</v>
      </c>
      <c r="AP832" t="s">
        <v>74</v>
      </c>
      <c r="AQ832" t="s">
        <v>74</v>
      </c>
      <c r="AR832" t="s">
        <v>7145</v>
      </c>
      <c r="AS832" t="s">
        <v>7146</v>
      </c>
      <c r="AT832" t="s">
        <v>11370</v>
      </c>
      <c r="AU832">
        <v>2002</v>
      </c>
      <c r="AV832">
        <v>34</v>
      </c>
      <c r="AW832">
        <v>3</v>
      </c>
      <c r="AX832" t="s">
        <v>74</v>
      </c>
      <c r="AY832" t="s">
        <v>74</v>
      </c>
      <c r="AZ832" t="s">
        <v>74</v>
      </c>
      <c r="BA832" t="s">
        <v>74</v>
      </c>
      <c r="BB832">
        <v>345</v>
      </c>
      <c r="BC832">
        <v>357</v>
      </c>
      <c r="BD832" t="s">
        <v>74</v>
      </c>
      <c r="BE832" t="s">
        <v>11498</v>
      </c>
      <c r="BF832" t="str">
        <f>HYPERLINK("http://dx.doi.org/10.2307/1552493","http://dx.doi.org/10.2307/1552493")</f>
        <v>http://dx.doi.org/10.2307/1552493</v>
      </c>
      <c r="BG832" t="s">
        <v>74</v>
      </c>
      <c r="BH832" t="s">
        <v>74</v>
      </c>
      <c r="BI832">
        <v>13</v>
      </c>
      <c r="BJ832" t="s">
        <v>7148</v>
      </c>
      <c r="BK832" t="s">
        <v>569</v>
      </c>
      <c r="BL832" t="s">
        <v>6275</v>
      </c>
      <c r="BM832" t="s">
        <v>11372</v>
      </c>
      <c r="BN832" t="s">
        <v>74</v>
      </c>
      <c r="BO832" t="s">
        <v>572</v>
      </c>
      <c r="BP832" t="s">
        <v>74</v>
      </c>
      <c r="BQ832" t="s">
        <v>74</v>
      </c>
      <c r="BR832" t="s">
        <v>98</v>
      </c>
      <c r="BS832" t="s">
        <v>11499</v>
      </c>
      <c r="BT832" t="str">
        <f>HYPERLINK("https%3A%2F%2Fwww.webofscience.com%2Fwos%2Fwoscc%2Ffull-record%2FWOS:000178100600014","View Full Record in Web of Science")</f>
        <v>View Full Record in Web of Science</v>
      </c>
    </row>
    <row r="833" spans="1:72" x14ac:dyDescent="0.15">
      <c r="A833" t="s">
        <v>552</v>
      </c>
      <c r="B833" t="s">
        <v>11500</v>
      </c>
      <c r="C833" t="s">
        <v>74</v>
      </c>
      <c r="D833" t="s">
        <v>74</v>
      </c>
      <c r="E833" t="s">
        <v>74</v>
      </c>
      <c r="F833" t="s">
        <v>11500</v>
      </c>
      <c r="G833" t="s">
        <v>74</v>
      </c>
      <c r="H833" t="s">
        <v>74</v>
      </c>
      <c r="I833" t="s">
        <v>11501</v>
      </c>
      <c r="J833" t="s">
        <v>11502</v>
      </c>
      <c r="K833" t="s">
        <v>74</v>
      </c>
      <c r="L833" t="s">
        <v>74</v>
      </c>
      <c r="M833" t="s">
        <v>78</v>
      </c>
      <c r="N833" t="s">
        <v>775</v>
      </c>
      <c r="O833" t="s">
        <v>74</v>
      </c>
      <c r="P833" t="s">
        <v>74</v>
      </c>
      <c r="Q833" t="s">
        <v>74</v>
      </c>
      <c r="R833" t="s">
        <v>74</v>
      </c>
      <c r="S833" t="s">
        <v>74</v>
      </c>
      <c r="T833" t="s">
        <v>11503</v>
      </c>
      <c r="U833" t="s">
        <v>11504</v>
      </c>
      <c r="V833" t="s">
        <v>11505</v>
      </c>
      <c r="W833" t="s">
        <v>11506</v>
      </c>
      <c r="X833" t="s">
        <v>11507</v>
      </c>
      <c r="Y833" t="s">
        <v>11508</v>
      </c>
      <c r="Z833" t="s">
        <v>11509</v>
      </c>
      <c r="AA833" t="s">
        <v>74</v>
      </c>
      <c r="AB833" t="s">
        <v>11510</v>
      </c>
      <c r="AC833" t="s">
        <v>74</v>
      </c>
      <c r="AD833" t="s">
        <v>74</v>
      </c>
      <c r="AE833" t="s">
        <v>74</v>
      </c>
      <c r="AF833" t="s">
        <v>74</v>
      </c>
      <c r="AG833">
        <v>8</v>
      </c>
      <c r="AH833">
        <v>26</v>
      </c>
      <c r="AI833">
        <v>29</v>
      </c>
      <c r="AJ833">
        <v>1</v>
      </c>
      <c r="AK833">
        <v>19</v>
      </c>
      <c r="AL833" t="s">
        <v>1974</v>
      </c>
      <c r="AM833" t="s">
        <v>807</v>
      </c>
      <c r="AN833" t="s">
        <v>1975</v>
      </c>
      <c r="AO833" t="s">
        <v>11511</v>
      </c>
      <c r="AP833" t="s">
        <v>74</v>
      </c>
      <c r="AQ833" t="s">
        <v>74</v>
      </c>
      <c r="AR833" t="s">
        <v>11512</v>
      </c>
      <c r="AS833" t="s">
        <v>11513</v>
      </c>
      <c r="AT833" t="s">
        <v>11370</v>
      </c>
      <c r="AU833">
        <v>2002</v>
      </c>
      <c r="AV833">
        <v>106</v>
      </c>
      <c r="AW833">
        <v>3</v>
      </c>
      <c r="AX833" t="s">
        <v>74</v>
      </c>
      <c r="AY833" t="s">
        <v>74</v>
      </c>
      <c r="AZ833" t="s">
        <v>74</v>
      </c>
      <c r="BA833" t="s">
        <v>74</v>
      </c>
      <c r="BB833">
        <v>359</v>
      </c>
      <c r="BC833">
        <v>364</v>
      </c>
      <c r="BD833" t="s">
        <v>11514</v>
      </c>
      <c r="BE833" t="s">
        <v>11515</v>
      </c>
      <c r="BF833" t="str">
        <f>HYPERLINK("http://dx.doi.org/10.1016/S0006-3207(01)00262-2","http://dx.doi.org/10.1016/S0006-3207(01)00262-2")</f>
        <v>http://dx.doi.org/10.1016/S0006-3207(01)00262-2</v>
      </c>
      <c r="BG833" t="s">
        <v>74</v>
      </c>
      <c r="BH833" t="s">
        <v>74</v>
      </c>
      <c r="BI833">
        <v>6</v>
      </c>
      <c r="BJ833" t="s">
        <v>7577</v>
      </c>
      <c r="BK833" t="s">
        <v>569</v>
      </c>
      <c r="BL833" t="s">
        <v>4440</v>
      </c>
      <c r="BM833" t="s">
        <v>11516</v>
      </c>
      <c r="BN833" t="s">
        <v>74</v>
      </c>
      <c r="BO833" t="s">
        <v>74</v>
      </c>
      <c r="BP833" t="s">
        <v>74</v>
      </c>
      <c r="BQ833" t="s">
        <v>74</v>
      </c>
      <c r="BR833" t="s">
        <v>98</v>
      </c>
      <c r="BS833" t="s">
        <v>11517</v>
      </c>
      <c r="BT833" t="str">
        <f>HYPERLINK("https%3A%2F%2Fwww.webofscience.com%2Fwos%2Fwoscc%2Ffull-record%2FWOS:000176523300007","View Full Record in Web of Science")</f>
        <v>View Full Record in Web of Science</v>
      </c>
    </row>
    <row r="834" spans="1:72" x14ac:dyDescent="0.15">
      <c r="A834" t="s">
        <v>552</v>
      </c>
      <c r="B834" t="s">
        <v>11518</v>
      </c>
      <c r="C834" t="s">
        <v>74</v>
      </c>
      <c r="D834" t="s">
        <v>74</v>
      </c>
      <c r="E834" t="s">
        <v>74</v>
      </c>
      <c r="F834" t="s">
        <v>11518</v>
      </c>
      <c r="G834" t="s">
        <v>74</v>
      </c>
      <c r="H834" t="s">
        <v>74</v>
      </c>
      <c r="I834" t="s">
        <v>11519</v>
      </c>
      <c r="J834" t="s">
        <v>11520</v>
      </c>
      <c r="K834" t="s">
        <v>74</v>
      </c>
      <c r="L834" t="s">
        <v>74</v>
      </c>
      <c r="M834" t="s">
        <v>78</v>
      </c>
      <c r="N834" t="s">
        <v>1114</v>
      </c>
      <c r="O834" t="s">
        <v>74</v>
      </c>
      <c r="P834" t="s">
        <v>74</v>
      </c>
      <c r="Q834" t="s">
        <v>74</v>
      </c>
      <c r="R834" t="s">
        <v>74</v>
      </c>
      <c r="S834" t="s">
        <v>74</v>
      </c>
      <c r="T834" t="s">
        <v>11521</v>
      </c>
      <c r="U834" t="s">
        <v>11522</v>
      </c>
      <c r="V834" t="s">
        <v>11523</v>
      </c>
      <c r="W834" t="s">
        <v>11524</v>
      </c>
      <c r="X834" t="s">
        <v>10285</v>
      </c>
      <c r="Y834" t="s">
        <v>4479</v>
      </c>
      <c r="Z834" t="s">
        <v>74</v>
      </c>
      <c r="AA834" t="s">
        <v>74</v>
      </c>
      <c r="AB834" t="s">
        <v>74</v>
      </c>
      <c r="AC834" t="s">
        <v>74</v>
      </c>
      <c r="AD834" t="s">
        <v>74</v>
      </c>
      <c r="AE834" t="s">
        <v>74</v>
      </c>
      <c r="AF834" t="s">
        <v>74</v>
      </c>
      <c r="AG834">
        <v>133</v>
      </c>
      <c r="AH834">
        <v>70</v>
      </c>
      <c r="AI834">
        <v>80</v>
      </c>
      <c r="AJ834">
        <v>0</v>
      </c>
      <c r="AK834">
        <v>37</v>
      </c>
      <c r="AL834" t="s">
        <v>560</v>
      </c>
      <c r="AM834" t="s">
        <v>561</v>
      </c>
      <c r="AN834" t="s">
        <v>3082</v>
      </c>
      <c r="AO834" t="s">
        <v>11525</v>
      </c>
      <c r="AP834" t="s">
        <v>74</v>
      </c>
      <c r="AQ834" t="s">
        <v>74</v>
      </c>
      <c r="AR834" t="s">
        <v>11526</v>
      </c>
      <c r="AS834" t="s">
        <v>11527</v>
      </c>
      <c r="AT834" t="s">
        <v>11370</v>
      </c>
      <c r="AU834">
        <v>2002</v>
      </c>
      <c r="AV834">
        <v>77</v>
      </c>
      <c r="AW834">
        <v>3</v>
      </c>
      <c r="AX834" t="s">
        <v>74</v>
      </c>
      <c r="AY834" t="s">
        <v>74</v>
      </c>
      <c r="AZ834" t="s">
        <v>74</v>
      </c>
      <c r="BA834" t="s">
        <v>74</v>
      </c>
      <c r="BB834">
        <v>279</v>
      </c>
      <c r="BC834">
        <v>310</v>
      </c>
      <c r="BD834" t="s">
        <v>74</v>
      </c>
      <c r="BE834" t="s">
        <v>11528</v>
      </c>
      <c r="BF834" t="str">
        <f>HYPERLINK("http://dx.doi.org/10.1017/S146479310100584X","http://dx.doi.org/10.1017/S146479310100584X")</f>
        <v>http://dx.doi.org/10.1017/S146479310100584X</v>
      </c>
      <c r="BG834" t="s">
        <v>74</v>
      </c>
      <c r="BH834" t="s">
        <v>74</v>
      </c>
      <c r="BI834">
        <v>32</v>
      </c>
      <c r="BJ834" t="s">
        <v>948</v>
      </c>
      <c r="BK834" t="s">
        <v>569</v>
      </c>
      <c r="BL834" t="s">
        <v>949</v>
      </c>
      <c r="BM834" t="s">
        <v>11529</v>
      </c>
      <c r="BN834">
        <v>12227518</v>
      </c>
      <c r="BO834" t="s">
        <v>74</v>
      </c>
      <c r="BP834" t="s">
        <v>74</v>
      </c>
      <c r="BQ834" t="s">
        <v>74</v>
      </c>
      <c r="BR834" t="s">
        <v>98</v>
      </c>
      <c r="BS834" t="s">
        <v>11530</v>
      </c>
      <c r="BT834" t="str">
        <f>HYPERLINK("https%3A%2F%2Fwww.webofscience.com%2Fwos%2Fwoscc%2Ffull-record%2FWOS:000178058500001","View Full Record in Web of Science")</f>
        <v>View Full Record in Web of Science</v>
      </c>
    </row>
    <row r="835" spans="1:72" x14ac:dyDescent="0.15">
      <c r="A835" t="s">
        <v>552</v>
      </c>
      <c r="B835" t="s">
        <v>11531</v>
      </c>
      <c r="C835" t="s">
        <v>74</v>
      </c>
      <c r="D835" t="s">
        <v>74</v>
      </c>
      <c r="E835" t="s">
        <v>74</v>
      </c>
      <c r="F835" t="s">
        <v>11531</v>
      </c>
      <c r="G835" t="s">
        <v>74</v>
      </c>
      <c r="H835" t="s">
        <v>74</v>
      </c>
      <c r="I835" t="s">
        <v>11532</v>
      </c>
      <c r="J835" t="s">
        <v>1221</v>
      </c>
      <c r="K835" t="s">
        <v>74</v>
      </c>
      <c r="L835" t="s">
        <v>74</v>
      </c>
      <c r="M835" t="s">
        <v>78</v>
      </c>
      <c r="N835" t="s">
        <v>775</v>
      </c>
      <c r="O835" t="s">
        <v>74</v>
      </c>
      <c r="P835" t="s">
        <v>74</v>
      </c>
      <c r="Q835" t="s">
        <v>74</v>
      </c>
      <c r="R835" t="s">
        <v>74</v>
      </c>
      <c r="S835" t="s">
        <v>74</v>
      </c>
      <c r="T835" t="s">
        <v>74</v>
      </c>
      <c r="U835" t="s">
        <v>11533</v>
      </c>
      <c r="V835" t="s">
        <v>11534</v>
      </c>
      <c r="W835" t="s">
        <v>11535</v>
      </c>
      <c r="X835" t="s">
        <v>11536</v>
      </c>
      <c r="Y835" t="s">
        <v>11537</v>
      </c>
      <c r="Z835" t="s">
        <v>11538</v>
      </c>
      <c r="AA835" t="s">
        <v>11539</v>
      </c>
      <c r="AB835" t="s">
        <v>74</v>
      </c>
      <c r="AC835" t="s">
        <v>74</v>
      </c>
      <c r="AD835" t="s">
        <v>74</v>
      </c>
      <c r="AE835" t="s">
        <v>74</v>
      </c>
      <c r="AF835" t="s">
        <v>74</v>
      </c>
      <c r="AG835">
        <v>61</v>
      </c>
      <c r="AH835">
        <v>104</v>
      </c>
      <c r="AI835">
        <v>122</v>
      </c>
      <c r="AJ835">
        <v>1</v>
      </c>
      <c r="AK835">
        <v>13</v>
      </c>
      <c r="AL835" t="s">
        <v>1230</v>
      </c>
      <c r="AM835" t="s">
        <v>561</v>
      </c>
      <c r="AN835" t="s">
        <v>1231</v>
      </c>
      <c r="AO835" t="s">
        <v>1232</v>
      </c>
      <c r="AP835" t="s">
        <v>1233</v>
      </c>
      <c r="AQ835" t="s">
        <v>74</v>
      </c>
      <c r="AR835" t="s">
        <v>1234</v>
      </c>
      <c r="AS835" t="s">
        <v>1235</v>
      </c>
      <c r="AT835" t="s">
        <v>11370</v>
      </c>
      <c r="AU835">
        <v>2002</v>
      </c>
      <c r="AV835">
        <v>19</v>
      </c>
      <c r="AW835" t="s">
        <v>10802</v>
      </c>
      <c r="AX835" t="s">
        <v>74</v>
      </c>
      <c r="AY835" t="s">
        <v>74</v>
      </c>
      <c r="AZ835" t="s">
        <v>74</v>
      </c>
      <c r="BA835" t="s">
        <v>74</v>
      </c>
      <c r="BB835">
        <v>515</v>
      </c>
      <c r="BC835">
        <v>537</v>
      </c>
      <c r="BD835" t="s">
        <v>74</v>
      </c>
      <c r="BE835" t="s">
        <v>11540</v>
      </c>
      <c r="BF835" t="str">
        <f>HYPERLINK("http://dx.doi.org/10.1007/s00382-002-0243-y","http://dx.doi.org/10.1007/s00382-002-0243-y")</f>
        <v>http://dx.doi.org/10.1007/s00382-002-0243-y</v>
      </c>
      <c r="BG835" t="s">
        <v>74</v>
      </c>
      <c r="BH835" t="s">
        <v>74</v>
      </c>
      <c r="BI835">
        <v>23</v>
      </c>
      <c r="BJ835" t="s">
        <v>1237</v>
      </c>
      <c r="BK835" t="s">
        <v>569</v>
      </c>
      <c r="BL835" t="s">
        <v>1237</v>
      </c>
      <c r="BM835" t="s">
        <v>11541</v>
      </c>
      <c r="BN835" t="s">
        <v>74</v>
      </c>
      <c r="BO835" t="s">
        <v>74</v>
      </c>
      <c r="BP835" t="s">
        <v>74</v>
      </c>
      <c r="BQ835" t="s">
        <v>74</v>
      </c>
      <c r="BR835" t="s">
        <v>98</v>
      </c>
      <c r="BS835" t="s">
        <v>11542</v>
      </c>
      <c r="BT835" t="str">
        <f>HYPERLINK("https%3A%2F%2Fwww.webofscience.com%2Fwos%2Fwoscc%2Ffull-record%2FWOS:000177870200011","View Full Record in Web of Science")</f>
        <v>View Full Record in Web of Science</v>
      </c>
    </row>
    <row r="836" spans="1:72" x14ac:dyDescent="0.15">
      <c r="A836" t="s">
        <v>552</v>
      </c>
      <c r="B836" t="s">
        <v>11543</v>
      </c>
      <c r="C836" t="s">
        <v>74</v>
      </c>
      <c r="D836" t="s">
        <v>74</v>
      </c>
      <c r="E836" t="s">
        <v>74</v>
      </c>
      <c r="F836" t="s">
        <v>11543</v>
      </c>
      <c r="G836" t="s">
        <v>74</v>
      </c>
      <c r="H836" t="s">
        <v>74</v>
      </c>
      <c r="I836" t="s">
        <v>11544</v>
      </c>
      <c r="J836" t="s">
        <v>1277</v>
      </c>
      <c r="K836" t="s">
        <v>74</v>
      </c>
      <c r="L836" t="s">
        <v>74</v>
      </c>
      <c r="M836" t="s">
        <v>78</v>
      </c>
      <c r="N836" t="s">
        <v>576</v>
      </c>
      <c r="O836" t="s">
        <v>11545</v>
      </c>
      <c r="P836" t="s">
        <v>11546</v>
      </c>
      <c r="Q836" t="s">
        <v>11547</v>
      </c>
      <c r="R836" t="s">
        <v>74</v>
      </c>
      <c r="S836" t="s">
        <v>11548</v>
      </c>
      <c r="T836" t="s">
        <v>11549</v>
      </c>
      <c r="U836" t="s">
        <v>11550</v>
      </c>
      <c r="V836" t="s">
        <v>11551</v>
      </c>
      <c r="W836" t="s">
        <v>583</v>
      </c>
      <c r="X836" t="s">
        <v>584</v>
      </c>
      <c r="Y836" t="s">
        <v>74</v>
      </c>
      <c r="Z836" t="s">
        <v>7081</v>
      </c>
      <c r="AA836" t="s">
        <v>11552</v>
      </c>
      <c r="AB836" t="s">
        <v>11553</v>
      </c>
      <c r="AC836" t="s">
        <v>74</v>
      </c>
      <c r="AD836" t="s">
        <v>74</v>
      </c>
      <c r="AE836" t="s">
        <v>74</v>
      </c>
      <c r="AF836" t="s">
        <v>74</v>
      </c>
      <c r="AG836">
        <v>118</v>
      </c>
      <c r="AH836">
        <v>1098</v>
      </c>
      <c r="AI836">
        <v>1221</v>
      </c>
      <c r="AJ836">
        <v>8</v>
      </c>
      <c r="AK836">
        <v>499</v>
      </c>
      <c r="AL836" t="s">
        <v>1287</v>
      </c>
      <c r="AM836" t="s">
        <v>561</v>
      </c>
      <c r="AN836" t="s">
        <v>1288</v>
      </c>
      <c r="AO836" t="s">
        <v>1289</v>
      </c>
      <c r="AP836" t="s">
        <v>1290</v>
      </c>
      <c r="AQ836" t="s">
        <v>74</v>
      </c>
      <c r="AR836" t="s">
        <v>1291</v>
      </c>
      <c r="AS836" t="s">
        <v>1292</v>
      </c>
      <c r="AT836" t="s">
        <v>11370</v>
      </c>
      <c r="AU836">
        <v>2002</v>
      </c>
      <c r="AV836">
        <v>132</v>
      </c>
      <c r="AW836">
        <v>4</v>
      </c>
      <c r="AX836" t="s">
        <v>74</v>
      </c>
      <c r="AY836" t="s">
        <v>74</v>
      </c>
      <c r="AZ836" t="s">
        <v>74</v>
      </c>
      <c r="BA836" t="s">
        <v>74</v>
      </c>
      <c r="BB836">
        <v>739</v>
      </c>
      <c r="BC836">
        <v>761</v>
      </c>
      <c r="BD836" t="s">
        <v>11554</v>
      </c>
      <c r="BE836" t="s">
        <v>11555</v>
      </c>
      <c r="BF836" t="str">
        <f>HYPERLINK("http://dx.doi.org/10.1016/S1095-6433(02)00045-4","http://dx.doi.org/10.1016/S1095-6433(02)00045-4")</f>
        <v>http://dx.doi.org/10.1016/S1095-6433(02)00045-4</v>
      </c>
      <c r="BG836" t="s">
        <v>74</v>
      </c>
      <c r="BH836" t="s">
        <v>74</v>
      </c>
      <c r="BI836">
        <v>23</v>
      </c>
      <c r="BJ836" t="s">
        <v>1294</v>
      </c>
      <c r="BK836" t="s">
        <v>605</v>
      </c>
      <c r="BL836" t="s">
        <v>1294</v>
      </c>
      <c r="BM836" t="s">
        <v>11556</v>
      </c>
      <c r="BN836">
        <v>12095860</v>
      </c>
      <c r="BO836" t="s">
        <v>74</v>
      </c>
      <c r="BP836" t="s">
        <v>74</v>
      </c>
      <c r="BQ836" t="s">
        <v>74</v>
      </c>
      <c r="BR836" t="s">
        <v>98</v>
      </c>
      <c r="BS836" t="s">
        <v>11557</v>
      </c>
      <c r="BT836" t="str">
        <f>HYPERLINK("https%3A%2F%2Fwww.webofscience.com%2Fwos%2Fwoscc%2Ffull-record%2FWOS:000177235600007","View Full Record in Web of Science")</f>
        <v>View Full Record in Web of Science</v>
      </c>
    </row>
    <row r="837" spans="1:72" x14ac:dyDescent="0.15">
      <c r="A837" t="s">
        <v>552</v>
      </c>
      <c r="B837" t="s">
        <v>11558</v>
      </c>
      <c r="C837" t="s">
        <v>74</v>
      </c>
      <c r="D837" t="s">
        <v>74</v>
      </c>
      <c r="E837" t="s">
        <v>74</v>
      </c>
      <c r="F837" t="s">
        <v>11558</v>
      </c>
      <c r="G837" t="s">
        <v>74</v>
      </c>
      <c r="H837" t="s">
        <v>74</v>
      </c>
      <c r="I837" t="s">
        <v>11559</v>
      </c>
      <c r="J837" t="s">
        <v>1277</v>
      </c>
      <c r="K837" t="s">
        <v>74</v>
      </c>
      <c r="L837" t="s">
        <v>74</v>
      </c>
      <c r="M837" t="s">
        <v>78</v>
      </c>
      <c r="N837" t="s">
        <v>576</v>
      </c>
      <c r="O837" t="s">
        <v>11545</v>
      </c>
      <c r="P837" t="s">
        <v>11546</v>
      </c>
      <c r="Q837" t="s">
        <v>11547</v>
      </c>
      <c r="R837" t="s">
        <v>74</v>
      </c>
      <c r="S837" t="s">
        <v>11548</v>
      </c>
      <c r="T837" t="s">
        <v>11560</v>
      </c>
      <c r="U837" t="s">
        <v>11561</v>
      </c>
      <c r="V837" t="s">
        <v>11562</v>
      </c>
      <c r="W837" t="s">
        <v>11563</v>
      </c>
      <c r="X837" t="s">
        <v>11564</v>
      </c>
      <c r="Y837" t="s">
        <v>11565</v>
      </c>
      <c r="Z837" t="s">
        <v>11566</v>
      </c>
      <c r="AA837" t="s">
        <v>11567</v>
      </c>
      <c r="AB837" t="s">
        <v>11568</v>
      </c>
      <c r="AC837" t="s">
        <v>74</v>
      </c>
      <c r="AD837" t="s">
        <v>74</v>
      </c>
      <c r="AE837" t="s">
        <v>74</v>
      </c>
      <c r="AF837" t="s">
        <v>74</v>
      </c>
      <c r="AG837">
        <v>19</v>
      </c>
      <c r="AH837">
        <v>67</v>
      </c>
      <c r="AI837">
        <v>73</v>
      </c>
      <c r="AJ837">
        <v>2</v>
      </c>
      <c r="AK837">
        <v>32</v>
      </c>
      <c r="AL837" t="s">
        <v>1287</v>
      </c>
      <c r="AM837" t="s">
        <v>561</v>
      </c>
      <c r="AN837" t="s">
        <v>1288</v>
      </c>
      <c r="AO837" t="s">
        <v>1289</v>
      </c>
      <c r="AP837" t="s">
        <v>1290</v>
      </c>
      <c r="AQ837" t="s">
        <v>74</v>
      </c>
      <c r="AR837" t="s">
        <v>1291</v>
      </c>
      <c r="AS837" t="s">
        <v>1292</v>
      </c>
      <c r="AT837" t="s">
        <v>11370</v>
      </c>
      <c r="AU837">
        <v>2002</v>
      </c>
      <c r="AV837">
        <v>132</v>
      </c>
      <c r="AW837">
        <v>4</v>
      </c>
      <c r="AX837" t="s">
        <v>74</v>
      </c>
      <c r="AY837" t="s">
        <v>74</v>
      </c>
      <c r="AZ837" t="s">
        <v>74</v>
      </c>
      <c r="BA837" t="s">
        <v>74</v>
      </c>
      <c r="BB837">
        <v>789</v>
      </c>
      <c r="BC837">
        <v>795</v>
      </c>
      <c r="BD837" t="s">
        <v>11569</v>
      </c>
      <c r="BE837" t="s">
        <v>11570</v>
      </c>
      <c r="BF837" t="str">
        <f>HYPERLINK("http://dx.doi.org/10.1016/S1095-6433(02)00048-X","http://dx.doi.org/10.1016/S1095-6433(02)00048-X")</f>
        <v>http://dx.doi.org/10.1016/S1095-6433(02)00048-X</v>
      </c>
      <c r="BG837" t="s">
        <v>74</v>
      </c>
      <c r="BH837" t="s">
        <v>74</v>
      </c>
      <c r="BI837">
        <v>7</v>
      </c>
      <c r="BJ837" t="s">
        <v>1294</v>
      </c>
      <c r="BK837" t="s">
        <v>605</v>
      </c>
      <c r="BL837" t="s">
        <v>1294</v>
      </c>
      <c r="BM837" t="s">
        <v>11556</v>
      </c>
      <c r="BN837">
        <v>12095863</v>
      </c>
      <c r="BO837" t="s">
        <v>74</v>
      </c>
      <c r="BP837" t="s">
        <v>74</v>
      </c>
      <c r="BQ837" t="s">
        <v>74</v>
      </c>
      <c r="BR837" t="s">
        <v>98</v>
      </c>
      <c r="BS837" t="s">
        <v>11571</v>
      </c>
      <c r="BT837" t="str">
        <f>HYPERLINK("https%3A%2F%2Fwww.webofscience.com%2Fwos%2Fwoscc%2Ffull-record%2FWOS:000177235600010","View Full Record in Web of Science")</f>
        <v>View Full Record in Web of Science</v>
      </c>
    </row>
    <row r="838" spans="1:72" x14ac:dyDescent="0.15">
      <c r="A838" t="s">
        <v>552</v>
      </c>
      <c r="B838" t="s">
        <v>11572</v>
      </c>
      <c r="C838" t="s">
        <v>74</v>
      </c>
      <c r="D838" t="s">
        <v>74</v>
      </c>
      <c r="E838" t="s">
        <v>74</v>
      </c>
      <c r="F838" t="s">
        <v>11572</v>
      </c>
      <c r="G838" t="s">
        <v>74</v>
      </c>
      <c r="H838" t="s">
        <v>74</v>
      </c>
      <c r="I838" t="s">
        <v>11573</v>
      </c>
      <c r="J838" t="s">
        <v>7338</v>
      </c>
      <c r="K838" t="s">
        <v>74</v>
      </c>
      <c r="L838" t="s">
        <v>74</v>
      </c>
      <c r="M838" t="s">
        <v>78</v>
      </c>
      <c r="N838" t="s">
        <v>775</v>
      </c>
      <c r="O838" t="s">
        <v>74</v>
      </c>
      <c r="P838" t="s">
        <v>74</v>
      </c>
      <c r="Q838" t="s">
        <v>74</v>
      </c>
      <c r="R838" t="s">
        <v>74</v>
      </c>
      <c r="S838" t="s">
        <v>74</v>
      </c>
      <c r="T838" t="s">
        <v>11574</v>
      </c>
      <c r="U838" t="s">
        <v>11575</v>
      </c>
      <c r="V838" t="s">
        <v>11576</v>
      </c>
      <c r="W838" t="s">
        <v>11577</v>
      </c>
      <c r="X838" t="s">
        <v>11578</v>
      </c>
      <c r="Y838" t="s">
        <v>11579</v>
      </c>
      <c r="Z838" t="s">
        <v>11580</v>
      </c>
      <c r="AA838" t="s">
        <v>74</v>
      </c>
      <c r="AB838" t="s">
        <v>11581</v>
      </c>
      <c r="AC838" t="s">
        <v>74</v>
      </c>
      <c r="AD838" t="s">
        <v>74</v>
      </c>
      <c r="AE838" t="s">
        <v>74</v>
      </c>
      <c r="AF838" t="s">
        <v>74</v>
      </c>
      <c r="AG838">
        <v>35</v>
      </c>
      <c r="AH838">
        <v>37</v>
      </c>
      <c r="AI838">
        <v>43</v>
      </c>
      <c r="AJ838">
        <v>0</v>
      </c>
      <c r="AK838">
        <v>12</v>
      </c>
      <c r="AL838" t="s">
        <v>1287</v>
      </c>
      <c r="AM838" t="s">
        <v>561</v>
      </c>
      <c r="AN838" t="s">
        <v>1288</v>
      </c>
      <c r="AO838" t="s">
        <v>7346</v>
      </c>
      <c r="AP838" t="s">
        <v>7347</v>
      </c>
      <c r="AQ838" t="s">
        <v>74</v>
      </c>
      <c r="AR838" t="s">
        <v>7348</v>
      </c>
      <c r="AS838" t="s">
        <v>7349</v>
      </c>
      <c r="AT838" t="s">
        <v>11370</v>
      </c>
      <c r="AU838">
        <v>2002</v>
      </c>
      <c r="AV838">
        <v>132</v>
      </c>
      <c r="AW838">
        <v>4</v>
      </c>
      <c r="AX838" t="s">
        <v>74</v>
      </c>
      <c r="AY838" t="s">
        <v>74</v>
      </c>
      <c r="AZ838" t="s">
        <v>74</v>
      </c>
      <c r="BA838" t="s">
        <v>74</v>
      </c>
      <c r="BB838">
        <v>729</v>
      </c>
      <c r="BC838">
        <v>737</v>
      </c>
      <c r="BD838" t="s">
        <v>11582</v>
      </c>
      <c r="BE838" t="s">
        <v>11583</v>
      </c>
      <c r="BF838" t="str">
        <f>HYPERLINK("http://dx.doi.org/10.1016/S1096-4959(02)00089-1","http://dx.doi.org/10.1016/S1096-4959(02)00089-1")</f>
        <v>http://dx.doi.org/10.1016/S1096-4959(02)00089-1</v>
      </c>
      <c r="BG838" t="s">
        <v>74</v>
      </c>
      <c r="BH838" t="s">
        <v>74</v>
      </c>
      <c r="BI838">
        <v>9</v>
      </c>
      <c r="BJ838" t="s">
        <v>7352</v>
      </c>
      <c r="BK838" t="s">
        <v>569</v>
      </c>
      <c r="BL838" t="s">
        <v>7352</v>
      </c>
      <c r="BM838" t="s">
        <v>11584</v>
      </c>
      <c r="BN838">
        <v>12128059</v>
      </c>
      <c r="BO838" t="s">
        <v>74</v>
      </c>
      <c r="BP838" t="s">
        <v>74</v>
      </c>
      <c r="BQ838" t="s">
        <v>74</v>
      </c>
      <c r="BR838" t="s">
        <v>98</v>
      </c>
      <c r="BS838" t="s">
        <v>11585</v>
      </c>
      <c r="BT838" t="str">
        <f>HYPERLINK("https%3A%2F%2Fwww.webofscience.com%2Fwos%2Fwoscc%2Ffull-record%2FWOS:000177522100005","View Full Record in Web of Science")</f>
        <v>View Full Record in Web of Science</v>
      </c>
    </row>
    <row r="839" spans="1:72" x14ac:dyDescent="0.15">
      <c r="A839" t="s">
        <v>552</v>
      </c>
      <c r="B839" t="s">
        <v>11586</v>
      </c>
      <c r="C839" t="s">
        <v>74</v>
      </c>
      <c r="D839" t="s">
        <v>74</v>
      </c>
      <c r="E839" t="s">
        <v>74</v>
      </c>
      <c r="F839" t="s">
        <v>11586</v>
      </c>
      <c r="G839" t="s">
        <v>74</v>
      </c>
      <c r="H839" t="s">
        <v>74</v>
      </c>
      <c r="I839" t="s">
        <v>11587</v>
      </c>
      <c r="J839" t="s">
        <v>7338</v>
      </c>
      <c r="K839" t="s">
        <v>74</v>
      </c>
      <c r="L839" t="s">
        <v>74</v>
      </c>
      <c r="M839" t="s">
        <v>78</v>
      </c>
      <c r="N839" t="s">
        <v>1792</v>
      </c>
      <c r="O839" t="s">
        <v>74</v>
      </c>
      <c r="P839" t="s">
        <v>74</v>
      </c>
      <c r="Q839" t="s">
        <v>74</v>
      </c>
      <c r="R839" t="s">
        <v>74</v>
      </c>
      <c r="S839" t="s">
        <v>74</v>
      </c>
      <c r="T839" t="s">
        <v>74</v>
      </c>
      <c r="U839" t="s">
        <v>74</v>
      </c>
      <c r="V839" t="s">
        <v>74</v>
      </c>
      <c r="W839" t="s">
        <v>11588</v>
      </c>
      <c r="X839" t="s">
        <v>11589</v>
      </c>
      <c r="Y839" t="s">
        <v>11590</v>
      </c>
      <c r="Z839" t="s">
        <v>74</v>
      </c>
      <c r="AA839" t="s">
        <v>11591</v>
      </c>
      <c r="AB839" t="s">
        <v>74</v>
      </c>
      <c r="AC839" t="s">
        <v>74</v>
      </c>
      <c r="AD839" t="s">
        <v>74</v>
      </c>
      <c r="AE839" t="s">
        <v>74</v>
      </c>
      <c r="AF839" t="s">
        <v>74</v>
      </c>
      <c r="AG839">
        <v>1</v>
      </c>
      <c r="AH839">
        <v>2</v>
      </c>
      <c r="AI839">
        <v>3</v>
      </c>
      <c r="AJ839">
        <v>1</v>
      </c>
      <c r="AK839">
        <v>14</v>
      </c>
      <c r="AL839" t="s">
        <v>806</v>
      </c>
      <c r="AM839" t="s">
        <v>807</v>
      </c>
      <c r="AN839" t="s">
        <v>808</v>
      </c>
      <c r="AO839" t="s">
        <v>7346</v>
      </c>
      <c r="AP839" t="s">
        <v>74</v>
      </c>
      <c r="AQ839" t="s">
        <v>74</v>
      </c>
      <c r="AR839" t="s">
        <v>7348</v>
      </c>
      <c r="AS839" t="s">
        <v>7349</v>
      </c>
      <c r="AT839" t="s">
        <v>11370</v>
      </c>
      <c r="AU839">
        <v>2002</v>
      </c>
      <c r="AV839">
        <v>132</v>
      </c>
      <c r="AW839">
        <v>4</v>
      </c>
      <c r="AX839" t="s">
        <v>74</v>
      </c>
      <c r="AY839" t="s">
        <v>74</v>
      </c>
      <c r="AZ839" t="s">
        <v>74</v>
      </c>
      <c r="BA839" t="s">
        <v>74</v>
      </c>
      <c r="BB839">
        <v>819</v>
      </c>
      <c r="BC839">
        <v>820</v>
      </c>
      <c r="BD839" t="s">
        <v>11592</v>
      </c>
      <c r="BE839" t="s">
        <v>11593</v>
      </c>
      <c r="BF839" t="str">
        <f>HYPERLINK("http://dx.doi.org/10.1016/S1096-4959(02)00086-6","http://dx.doi.org/10.1016/S1096-4959(02)00086-6")</f>
        <v>http://dx.doi.org/10.1016/S1096-4959(02)00086-6</v>
      </c>
      <c r="BG839" t="s">
        <v>74</v>
      </c>
      <c r="BH839" t="s">
        <v>74</v>
      </c>
      <c r="BI839">
        <v>2</v>
      </c>
      <c r="BJ839" t="s">
        <v>7352</v>
      </c>
      <c r="BK839" t="s">
        <v>569</v>
      </c>
      <c r="BL839" t="s">
        <v>7352</v>
      </c>
      <c r="BM839" t="s">
        <v>11584</v>
      </c>
      <c r="BN839" t="s">
        <v>74</v>
      </c>
      <c r="BO839" t="s">
        <v>74</v>
      </c>
      <c r="BP839" t="s">
        <v>74</v>
      </c>
      <c r="BQ839" t="s">
        <v>74</v>
      </c>
      <c r="BR839" t="s">
        <v>98</v>
      </c>
      <c r="BS839" t="s">
        <v>11594</v>
      </c>
      <c r="BT839" t="str">
        <f>HYPERLINK("https%3A%2F%2Fwww.webofscience.com%2Fwos%2Fwoscc%2Ffull-record%2FWOS:000177522100014","View Full Record in Web of Science")</f>
        <v>View Full Record in Web of Science</v>
      </c>
    </row>
    <row r="840" spans="1:72" x14ac:dyDescent="0.15">
      <c r="A840" t="s">
        <v>552</v>
      </c>
      <c r="B840" t="s">
        <v>11595</v>
      </c>
      <c r="C840" t="s">
        <v>74</v>
      </c>
      <c r="D840" t="s">
        <v>74</v>
      </c>
      <c r="E840" t="s">
        <v>74</v>
      </c>
      <c r="F840" t="s">
        <v>11595</v>
      </c>
      <c r="G840" t="s">
        <v>74</v>
      </c>
      <c r="H840" t="s">
        <v>74</v>
      </c>
      <c r="I840" t="s">
        <v>11596</v>
      </c>
      <c r="J840" t="s">
        <v>7357</v>
      </c>
      <c r="K840" t="s">
        <v>74</v>
      </c>
      <c r="L840" t="s">
        <v>74</v>
      </c>
      <c r="M840" t="s">
        <v>7358</v>
      </c>
      <c r="N840" t="s">
        <v>775</v>
      </c>
      <c r="O840" t="s">
        <v>74</v>
      </c>
      <c r="P840" t="s">
        <v>74</v>
      </c>
      <c r="Q840" t="s">
        <v>74</v>
      </c>
      <c r="R840" t="s">
        <v>74</v>
      </c>
      <c r="S840" t="s">
        <v>74</v>
      </c>
      <c r="T840" t="s">
        <v>11597</v>
      </c>
      <c r="U840" t="s">
        <v>11598</v>
      </c>
      <c r="V840" t="s">
        <v>11599</v>
      </c>
      <c r="W840" t="s">
        <v>11600</v>
      </c>
      <c r="X840" t="s">
        <v>11601</v>
      </c>
      <c r="Y840" t="s">
        <v>11602</v>
      </c>
      <c r="Z840" t="s">
        <v>11603</v>
      </c>
      <c r="AA840" t="s">
        <v>74</v>
      </c>
      <c r="AB840" t="s">
        <v>74</v>
      </c>
      <c r="AC840" t="s">
        <v>74</v>
      </c>
      <c r="AD840" t="s">
        <v>74</v>
      </c>
      <c r="AE840" t="s">
        <v>74</v>
      </c>
      <c r="AF840" t="s">
        <v>74</v>
      </c>
      <c r="AG840">
        <v>23</v>
      </c>
      <c r="AH840">
        <v>2</v>
      </c>
      <c r="AI840">
        <v>2</v>
      </c>
      <c r="AJ840">
        <v>1</v>
      </c>
      <c r="AK840">
        <v>6</v>
      </c>
      <c r="AL840" t="s">
        <v>7367</v>
      </c>
      <c r="AM840" t="s">
        <v>1905</v>
      </c>
      <c r="AN840" t="s">
        <v>7368</v>
      </c>
      <c r="AO840" t="s">
        <v>7369</v>
      </c>
      <c r="AP840" t="s">
        <v>74</v>
      </c>
      <c r="AQ840" t="s">
        <v>74</v>
      </c>
      <c r="AR840" t="s">
        <v>7370</v>
      </c>
      <c r="AS840" t="s">
        <v>7371</v>
      </c>
      <c r="AT840" t="s">
        <v>11370</v>
      </c>
      <c r="AU840">
        <v>2002</v>
      </c>
      <c r="AV840">
        <v>334</v>
      </c>
      <c r="AW840">
        <v>11</v>
      </c>
      <c r="AX840" t="s">
        <v>74</v>
      </c>
      <c r="AY840" t="s">
        <v>74</v>
      </c>
      <c r="AZ840" t="s">
        <v>74</v>
      </c>
      <c r="BA840" t="s">
        <v>74</v>
      </c>
      <c r="BB840">
        <v>819</v>
      </c>
      <c r="BC840">
        <v>826</v>
      </c>
      <c r="BD840" t="s">
        <v>74</v>
      </c>
      <c r="BE840" t="s">
        <v>11604</v>
      </c>
      <c r="BF840" t="str">
        <f>HYPERLINK("http://dx.doi.org/10.1016/S1631-0713(02)01817-5","http://dx.doi.org/10.1016/S1631-0713(02)01817-5")</f>
        <v>http://dx.doi.org/10.1016/S1631-0713(02)01817-5</v>
      </c>
      <c r="BG840" t="s">
        <v>74</v>
      </c>
      <c r="BH840" t="s">
        <v>74</v>
      </c>
      <c r="BI840">
        <v>8</v>
      </c>
      <c r="BJ840" t="s">
        <v>1813</v>
      </c>
      <c r="BK840" t="s">
        <v>569</v>
      </c>
      <c r="BL840" t="s">
        <v>1814</v>
      </c>
      <c r="BM840" t="s">
        <v>11605</v>
      </c>
      <c r="BN840" t="s">
        <v>74</v>
      </c>
      <c r="BO840" t="s">
        <v>590</v>
      </c>
      <c r="BP840" t="s">
        <v>74</v>
      </c>
      <c r="BQ840" t="s">
        <v>74</v>
      </c>
      <c r="BR840" t="s">
        <v>98</v>
      </c>
      <c r="BS840" t="s">
        <v>11606</v>
      </c>
      <c r="BT840" t="str">
        <f>HYPERLINK("https%3A%2F%2Fwww.webofscience.com%2Fwos%2Fwoscc%2Ffull-record%2FWOS:000179265400003","View Full Record in Web of Science")</f>
        <v>View Full Record in Web of Science</v>
      </c>
    </row>
    <row r="841" spans="1:72" x14ac:dyDescent="0.15">
      <c r="A841" t="s">
        <v>552</v>
      </c>
      <c r="B841" t="s">
        <v>11607</v>
      </c>
      <c r="C841" t="s">
        <v>74</v>
      </c>
      <c r="D841" t="s">
        <v>74</v>
      </c>
      <c r="E841" t="s">
        <v>74</v>
      </c>
      <c r="F841" t="s">
        <v>11607</v>
      </c>
      <c r="G841" t="s">
        <v>74</v>
      </c>
      <c r="H841" t="s">
        <v>74</v>
      </c>
      <c r="I841" t="s">
        <v>11608</v>
      </c>
      <c r="J841" t="s">
        <v>7357</v>
      </c>
      <c r="K841" t="s">
        <v>74</v>
      </c>
      <c r="L841" t="s">
        <v>74</v>
      </c>
      <c r="M841" t="s">
        <v>7358</v>
      </c>
      <c r="N841" t="s">
        <v>775</v>
      </c>
      <c r="O841" t="s">
        <v>74</v>
      </c>
      <c r="P841" t="s">
        <v>74</v>
      </c>
      <c r="Q841" t="s">
        <v>74</v>
      </c>
      <c r="R841" t="s">
        <v>74</v>
      </c>
      <c r="S841" t="s">
        <v>74</v>
      </c>
      <c r="T841" t="s">
        <v>11609</v>
      </c>
      <c r="U841" t="s">
        <v>11610</v>
      </c>
      <c r="V841" t="s">
        <v>11611</v>
      </c>
      <c r="W841" t="s">
        <v>11612</v>
      </c>
      <c r="X841" t="s">
        <v>11613</v>
      </c>
      <c r="Y841" t="s">
        <v>11614</v>
      </c>
      <c r="Z841" t="s">
        <v>11615</v>
      </c>
      <c r="AA841" t="s">
        <v>11616</v>
      </c>
      <c r="AB841" t="s">
        <v>11617</v>
      </c>
      <c r="AC841" t="s">
        <v>74</v>
      </c>
      <c r="AD841" t="s">
        <v>74</v>
      </c>
      <c r="AE841" t="s">
        <v>74</v>
      </c>
      <c r="AF841" t="s">
        <v>74</v>
      </c>
      <c r="AG841">
        <v>33</v>
      </c>
      <c r="AH841">
        <v>36</v>
      </c>
      <c r="AI841">
        <v>36</v>
      </c>
      <c r="AJ841">
        <v>0</v>
      </c>
      <c r="AK841">
        <v>5</v>
      </c>
      <c r="AL841" t="s">
        <v>7367</v>
      </c>
      <c r="AM841" t="s">
        <v>11618</v>
      </c>
      <c r="AN841" t="s">
        <v>11619</v>
      </c>
      <c r="AO841" t="s">
        <v>7369</v>
      </c>
      <c r="AP841" t="s">
        <v>11620</v>
      </c>
      <c r="AQ841" t="s">
        <v>74</v>
      </c>
      <c r="AR841" t="s">
        <v>7370</v>
      </c>
      <c r="AS841" t="s">
        <v>7371</v>
      </c>
      <c r="AT841" t="s">
        <v>11370</v>
      </c>
      <c r="AU841">
        <v>2002</v>
      </c>
      <c r="AV841">
        <v>334</v>
      </c>
      <c r="AW841">
        <v>11</v>
      </c>
      <c r="AX841" t="s">
        <v>74</v>
      </c>
      <c r="AY841" t="s">
        <v>74</v>
      </c>
      <c r="AZ841" t="s">
        <v>74</v>
      </c>
      <c r="BA841" t="s">
        <v>74</v>
      </c>
      <c r="BB841">
        <v>867</v>
      </c>
      <c r="BC841">
        <v>874</v>
      </c>
      <c r="BD841" t="s">
        <v>74</v>
      </c>
      <c r="BE841" t="s">
        <v>11621</v>
      </c>
      <c r="BF841" t="str">
        <f>HYPERLINK("http://dx.doi.org/10.1016/S1631-0713(02)01823-0","http://dx.doi.org/10.1016/S1631-0713(02)01823-0")</f>
        <v>http://dx.doi.org/10.1016/S1631-0713(02)01823-0</v>
      </c>
      <c r="BG841" t="s">
        <v>74</v>
      </c>
      <c r="BH841" t="s">
        <v>74</v>
      </c>
      <c r="BI841">
        <v>8</v>
      </c>
      <c r="BJ841" t="s">
        <v>1813</v>
      </c>
      <c r="BK841" t="s">
        <v>569</v>
      </c>
      <c r="BL841" t="s">
        <v>1814</v>
      </c>
      <c r="BM841" t="s">
        <v>11605</v>
      </c>
      <c r="BN841" t="s">
        <v>74</v>
      </c>
      <c r="BO841" t="s">
        <v>590</v>
      </c>
      <c r="BP841" t="s">
        <v>74</v>
      </c>
      <c r="BQ841" t="s">
        <v>74</v>
      </c>
      <c r="BR841" t="s">
        <v>98</v>
      </c>
      <c r="BS841" t="s">
        <v>11622</v>
      </c>
      <c r="BT841" t="str">
        <f>HYPERLINK("https%3A%2F%2Fwww.webofscience.com%2Fwos%2Fwoscc%2Ffull-record%2FWOS:000179265400009","View Full Record in Web of Science")</f>
        <v>View Full Record in Web of Science</v>
      </c>
    </row>
    <row r="842" spans="1:72" x14ac:dyDescent="0.15">
      <c r="A842" t="s">
        <v>552</v>
      </c>
      <c r="B842" t="s">
        <v>11623</v>
      </c>
      <c r="C842" t="s">
        <v>74</v>
      </c>
      <c r="D842" t="s">
        <v>74</v>
      </c>
      <c r="E842" t="s">
        <v>74</v>
      </c>
      <c r="F842" t="s">
        <v>11623</v>
      </c>
      <c r="G842" t="s">
        <v>74</v>
      </c>
      <c r="H842" t="s">
        <v>74</v>
      </c>
      <c r="I842" t="s">
        <v>11624</v>
      </c>
      <c r="J842" t="s">
        <v>7377</v>
      </c>
      <c r="K842" t="s">
        <v>74</v>
      </c>
      <c r="L842" t="s">
        <v>74</v>
      </c>
      <c r="M842" t="s">
        <v>78</v>
      </c>
      <c r="N842" t="s">
        <v>775</v>
      </c>
      <c r="O842" t="s">
        <v>74</v>
      </c>
      <c r="P842" t="s">
        <v>74</v>
      </c>
      <c r="Q842" t="s">
        <v>74</v>
      </c>
      <c r="R842" t="s">
        <v>74</v>
      </c>
      <c r="S842" t="s">
        <v>74</v>
      </c>
      <c r="T842" t="s">
        <v>11625</v>
      </c>
      <c r="U842" t="s">
        <v>11626</v>
      </c>
      <c r="V842" t="s">
        <v>11627</v>
      </c>
      <c r="W842" t="s">
        <v>11628</v>
      </c>
      <c r="X842" t="s">
        <v>74</v>
      </c>
      <c r="Y842" t="s">
        <v>11629</v>
      </c>
      <c r="Z842" t="s">
        <v>74</v>
      </c>
      <c r="AA842" t="s">
        <v>74</v>
      </c>
      <c r="AB842" t="s">
        <v>4449</v>
      </c>
      <c r="AC842" t="s">
        <v>74</v>
      </c>
      <c r="AD842" t="s">
        <v>74</v>
      </c>
      <c r="AE842" t="s">
        <v>74</v>
      </c>
      <c r="AF842" t="s">
        <v>74</v>
      </c>
      <c r="AG842">
        <v>46</v>
      </c>
      <c r="AH842">
        <v>44</v>
      </c>
      <c r="AI842">
        <v>48</v>
      </c>
      <c r="AJ842">
        <v>0</v>
      </c>
      <c r="AK842">
        <v>17</v>
      </c>
      <c r="AL842" t="s">
        <v>11630</v>
      </c>
      <c r="AM842" t="s">
        <v>3784</v>
      </c>
      <c r="AN842" t="s">
        <v>11631</v>
      </c>
      <c r="AO842" t="s">
        <v>7388</v>
      </c>
      <c r="AP842" t="s">
        <v>74</v>
      </c>
      <c r="AQ842" t="s">
        <v>74</v>
      </c>
      <c r="AR842" t="s">
        <v>7377</v>
      </c>
      <c r="AS842" t="s">
        <v>7390</v>
      </c>
      <c r="AT842" t="s">
        <v>11370</v>
      </c>
      <c r="AU842">
        <v>2002</v>
      </c>
      <c r="AV842">
        <v>104</v>
      </c>
      <c r="AW842">
        <v>3</v>
      </c>
      <c r="AX842" t="s">
        <v>74</v>
      </c>
      <c r="AY842" t="s">
        <v>74</v>
      </c>
      <c r="AZ842" t="s">
        <v>74</v>
      </c>
      <c r="BA842" t="s">
        <v>74</v>
      </c>
      <c r="BB842">
        <v>528</v>
      </c>
      <c r="BC842">
        <v>538</v>
      </c>
      <c r="BD842" t="s">
        <v>74</v>
      </c>
      <c r="BE842" t="s">
        <v>11632</v>
      </c>
      <c r="BF842" t="str">
        <f>HYPERLINK("http://dx.doi.org/10.1650/0010-5422(2002)104[0528:SATVIT]2.0.CO;2","http://dx.doi.org/10.1650/0010-5422(2002)104[0528:SATVIT]2.0.CO;2")</f>
        <v>http://dx.doi.org/10.1650/0010-5422(2002)104[0528:SATVIT]2.0.CO;2</v>
      </c>
      <c r="BG842" t="s">
        <v>74</v>
      </c>
      <c r="BH842" t="s">
        <v>74</v>
      </c>
      <c r="BI842">
        <v>11</v>
      </c>
      <c r="BJ842" t="s">
        <v>926</v>
      </c>
      <c r="BK842" t="s">
        <v>569</v>
      </c>
      <c r="BL842" t="s">
        <v>927</v>
      </c>
      <c r="BM842" t="s">
        <v>11633</v>
      </c>
      <c r="BN842" t="s">
        <v>74</v>
      </c>
      <c r="BO842" t="s">
        <v>74</v>
      </c>
      <c r="BP842" t="s">
        <v>74</v>
      </c>
      <c r="BQ842" t="s">
        <v>74</v>
      </c>
      <c r="BR842" t="s">
        <v>98</v>
      </c>
      <c r="BS842" t="s">
        <v>11634</v>
      </c>
      <c r="BT842" t="str">
        <f>HYPERLINK("https%3A%2F%2Fwww.webofscience.com%2Fwos%2Fwoscc%2Ffull-record%2FWOS:000177145700006","View Full Record in Web of Science")</f>
        <v>View Full Record in Web of Science</v>
      </c>
    </row>
    <row r="843" spans="1:72" x14ac:dyDescent="0.15">
      <c r="A843" t="s">
        <v>552</v>
      </c>
      <c r="B843" t="s">
        <v>11635</v>
      </c>
      <c r="C843" t="s">
        <v>74</v>
      </c>
      <c r="D843" t="s">
        <v>74</v>
      </c>
      <c r="E843" t="s">
        <v>74</v>
      </c>
      <c r="F843" t="s">
        <v>11635</v>
      </c>
      <c r="G843" t="s">
        <v>74</v>
      </c>
      <c r="H843" t="s">
        <v>74</v>
      </c>
      <c r="I843" t="s">
        <v>11636</v>
      </c>
      <c r="J843" t="s">
        <v>7377</v>
      </c>
      <c r="K843" t="s">
        <v>74</v>
      </c>
      <c r="L843" t="s">
        <v>74</v>
      </c>
      <c r="M843" t="s">
        <v>78</v>
      </c>
      <c r="N843" t="s">
        <v>775</v>
      </c>
      <c r="O843" t="s">
        <v>74</v>
      </c>
      <c r="P843" t="s">
        <v>74</v>
      </c>
      <c r="Q843" t="s">
        <v>74</v>
      </c>
      <c r="R843" t="s">
        <v>74</v>
      </c>
      <c r="S843" t="s">
        <v>74</v>
      </c>
      <c r="T843" t="s">
        <v>11637</v>
      </c>
      <c r="U843" t="s">
        <v>11638</v>
      </c>
      <c r="V843" t="s">
        <v>11639</v>
      </c>
      <c r="W843" t="s">
        <v>11640</v>
      </c>
      <c r="X843" t="s">
        <v>11641</v>
      </c>
      <c r="Y843" t="s">
        <v>11642</v>
      </c>
      <c r="Z843" t="s">
        <v>74</v>
      </c>
      <c r="AA843" t="s">
        <v>74</v>
      </c>
      <c r="AB843" t="s">
        <v>74</v>
      </c>
      <c r="AC843" t="s">
        <v>74</v>
      </c>
      <c r="AD843" t="s">
        <v>74</v>
      </c>
      <c r="AE843" t="s">
        <v>74</v>
      </c>
      <c r="AF843" t="s">
        <v>74</v>
      </c>
      <c r="AG843">
        <v>35</v>
      </c>
      <c r="AH843">
        <v>20</v>
      </c>
      <c r="AI843">
        <v>22</v>
      </c>
      <c r="AJ843">
        <v>1</v>
      </c>
      <c r="AK843">
        <v>22</v>
      </c>
      <c r="AL843" t="s">
        <v>11630</v>
      </c>
      <c r="AM843" t="s">
        <v>3784</v>
      </c>
      <c r="AN843" t="s">
        <v>11631</v>
      </c>
      <c r="AO843" t="s">
        <v>7388</v>
      </c>
      <c r="AP843" t="s">
        <v>74</v>
      </c>
      <c r="AQ843" t="s">
        <v>74</v>
      </c>
      <c r="AR843" t="s">
        <v>7377</v>
      </c>
      <c r="AS843" t="s">
        <v>7390</v>
      </c>
      <c r="AT843" t="s">
        <v>11370</v>
      </c>
      <c r="AU843">
        <v>2002</v>
      </c>
      <c r="AV843">
        <v>104</v>
      </c>
      <c r="AW843">
        <v>3</v>
      </c>
      <c r="AX843" t="s">
        <v>74</v>
      </c>
      <c r="AY843" t="s">
        <v>74</v>
      </c>
      <c r="AZ843" t="s">
        <v>74</v>
      </c>
      <c r="BA843" t="s">
        <v>74</v>
      </c>
      <c r="BB843">
        <v>667</v>
      </c>
      <c r="BC843">
        <v>671</v>
      </c>
      <c r="BD843" t="s">
        <v>74</v>
      </c>
      <c r="BE843" t="s">
        <v>11643</v>
      </c>
      <c r="BF843" t="str">
        <f>HYPERLINK("http://dx.doi.org/10.1650/0010-5422(2002)104[0667:AODROP]2.0.CO;2","http://dx.doi.org/10.1650/0010-5422(2002)104[0667:AODROP]2.0.CO;2")</f>
        <v>http://dx.doi.org/10.1650/0010-5422(2002)104[0667:AODROP]2.0.CO;2</v>
      </c>
      <c r="BG843" t="s">
        <v>74</v>
      </c>
      <c r="BH843" t="s">
        <v>74</v>
      </c>
      <c r="BI843">
        <v>5</v>
      </c>
      <c r="BJ843" t="s">
        <v>926</v>
      </c>
      <c r="BK843" t="s">
        <v>569</v>
      </c>
      <c r="BL843" t="s">
        <v>927</v>
      </c>
      <c r="BM843" t="s">
        <v>11633</v>
      </c>
      <c r="BN843" t="s">
        <v>74</v>
      </c>
      <c r="BO843" t="s">
        <v>572</v>
      </c>
      <c r="BP843" t="s">
        <v>74</v>
      </c>
      <c r="BQ843" t="s">
        <v>74</v>
      </c>
      <c r="BR843" t="s">
        <v>98</v>
      </c>
      <c r="BS843" t="s">
        <v>11644</v>
      </c>
      <c r="BT843" t="str">
        <f>HYPERLINK("https%3A%2F%2Fwww.webofscience.com%2Fwos%2Fwoscc%2Ffull-record%2FWOS:000177145700021","View Full Record in Web of Science")</f>
        <v>View Full Record in Web of Science</v>
      </c>
    </row>
    <row r="844" spans="1:72" x14ac:dyDescent="0.15">
      <c r="A844" t="s">
        <v>552</v>
      </c>
      <c r="B844" t="s">
        <v>11645</v>
      </c>
      <c r="C844" t="s">
        <v>74</v>
      </c>
      <c r="D844" t="s">
        <v>74</v>
      </c>
      <c r="E844" t="s">
        <v>74</v>
      </c>
      <c r="F844" t="s">
        <v>11645</v>
      </c>
      <c r="G844" t="s">
        <v>74</v>
      </c>
      <c r="H844" t="s">
        <v>74</v>
      </c>
      <c r="I844" t="s">
        <v>11646</v>
      </c>
      <c r="J844" t="s">
        <v>7377</v>
      </c>
      <c r="K844" t="s">
        <v>74</v>
      </c>
      <c r="L844" t="s">
        <v>74</v>
      </c>
      <c r="M844" t="s">
        <v>78</v>
      </c>
      <c r="N844" t="s">
        <v>775</v>
      </c>
      <c r="O844" t="s">
        <v>74</v>
      </c>
      <c r="P844" t="s">
        <v>74</v>
      </c>
      <c r="Q844" t="s">
        <v>74</v>
      </c>
      <c r="R844" t="s">
        <v>74</v>
      </c>
      <c r="S844" t="s">
        <v>74</v>
      </c>
      <c r="T844" t="s">
        <v>11647</v>
      </c>
      <c r="U844" t="s">
        <v>11648</v>
      </c>
      <c r="V844" t="s">
        <v>11649</v>
      </c>
      <c r="W844" t="s">
        <v>11650</v>
      </c>
      <c r="X844" t="s">
        <v>239</v>
      </c>
      <c r="Y844" t="s">
        <v>11651</v>
      </c>
      <c r="Z844" t="s">
        <v>74</v>
      </c>
      <c r="AA844" t="s">
        <v>74</v>
      </c>
      <c r="AB844" t="s">
        <v>74</v>
      </c>
      <c r="AC844" t="s">
        <v>74</v>
      </c>
      <c r="AD844" t="s">
        <v>74</v>
      </c>
      <c r="AE844" t="s">
        <v>74</v>
      </c>
      <c r="AF844" t="s">
        <v>74</v>
      </c>
      <c r="AG844">
        <v>21</v>
      </c>
      <c r="AH844">
        <v>6</v>
      </c>
      <c r="AI844">
        <v>7</v>
      </c>
      <c r="AJ844">
        <v>0</v>
      </c>
      <c r="AK844">
        <v>6</v>
      </c>
      <c r="AL844" t="s">
        <v>11630</v>
      </c>
      <c r="AM844" t="s">
        <v>3784</v>
      </c>
      <c r="AN844" t="s">
        <v>11631</v>
      </c>
      <c r="AO844" t="s">
        <v>7388</v>
      </c>
      <c r="AP844" t="s">
        <v>74</v>
      </c>
      <c r="AQ844" t="s">
        <v>74</v>
      </c>
      <c r="AR844" t="s">
        <v>7377</v>
      </c>
      <c r="AS844" t="s">
        <v>7390</v>
      </c>
      <c r="AT844" t="s">
        <v>11370</v>
      </c>
      <c r="AU844">
        <v>2002</v>
      </c>
      <c r="AV844">
        <v>104</v>
      </c>
      <c r="AW844">
        <v>3</v>
      </c>
      <c r="AX844" t="s">
        <v>74</v>
      </c>
      <c r="AY844" t="s">
        <v>74</v>
      </c>
      <c r="AZ844" t="s">
        <v>74</v>
      </c>
      <c r="BA844" t="s">
        <v>74</v>
      </c>
      <c r="BB844">
        <v>694</v>
      </c>
      <c r="BC844">
        <v>697</v>
      </c>
      <c r="BD844" t="s">
        <v>74</v>
      </c>
      <c r="BE844" t="s">
        <v>11652</v>
      </c>
      <c r="BF844" t="str">
        <f>HYPERLINK("http://dx.doi.org/10.1650/0010-5422(2002)104[0694:TOBSAB]2.0.CO;2","http://dx.doi.org/10.1650/0010-5422(2002)104[0694:TOBSAB]2.0.CO;2")</f>
        <v>http://dx.doi.org/10.1650/0010-5422(2002)104[0694:TOBSAB]2.0.CO;2</v>
      </c>
      <c r="BG844" t="s">
        <v>74</v>
      </c>
      <c r="BH844" t="s">
        <v>74</v>
      </c>
      <c r="BI844">
        <v>4</v>
      </c>
      <c r="BJ844" t="s">
        <v>926</v>
      </c>
      <c r="BK844" t="s">
        <v>569</v>
      </c>
      <c r="BL844" t="s">
        <v>927</v>
      </c>
      <c r="BM844" t="s">
        <v>11633</v>
      </c>
      <c r="BN844" t="s">
        <v>74</v>
      </c>
      <c r="BO844" t="s">
        <v>572</v>
      </c>
      <c r="BP844" t="s">
        <v>74</v>
      </c>
      <c r="BQ844" t="s">
        <v>74</v>
      </c>
      <c r="BR844" t="s">
        <v>98</v>
      </c>
      <c r="BS844" t="s">
        <v>11653</v>
      </c>
      <c r="BT844" t="str">
        <f>HYPERLINK("https%3A%2F%2Fwww.webofscience.com%2Fwos%2Fwoscc%2Ffull-record%2FWOS:000177145700027","View Full Record in Web of Science")</f>
        <v>View Full Record in Web of Science</v>
      </c>
    </row>
    <row r="845" spans="1:72" x14ac:dyDescent="0.15">
      <c r="A845" t="s">
        <v>552</v>
      </c>
      <c r="B845" t="s">
        <v>11654</v>
      </c>
      <c r="C845" t="s">
        <v>74</v>
      </c>
      <c r="D845" t="s">
        <v>74</v>
      </c>
      <c r="E845" t="s">
        <v>74</v>
      </c>
      <c r="F845" t="s">
        <v>11654</v>
      </c>
      <c r="G845" t="s">
        <v>74</v>
      </c>
      <c r="H845" t="s">
        <v>74</v>
      </c>
      <c r="I845" t="s">
        <v>11655</v>
      </c>
      <c r="J845" t="s">
        <v>11656</v>
      </c>
      <c r="K845" t="s">
        <v>74</v>
      </c>
      <c r="L845" t="s">
        <v>74</v>
      </c>
      <c r="M845" t="s">
        <v>78</v>
      </c>
      <c r="N845" t="s">
        <v>775</v>
      </c>
      <c r="O845" t="s">
        <v>74</v>
      </c>
      <c r="P845" t="s">
        <v>74</v>
      </c>
      <c r="Q845" t="s">
        <v>74</v>
      </c>
      <c r="R845" t="s">
        <v>74</v>
      </c>
      <c r="S845" t="s">
        <v>74</v>
      </c>
      <c r="T845" t="s">
        <v>74</v>
      </c>
      <c r="U845" t="s">
        <v>11657</v>
      </c>
      <c r="V845" t="s">
        <v>11658</v>
      </c>
      <c r="W845" t="s">
        <v>11659</v>
      </c>
      <c r="X845" t="s">
        <v>11660</v>
      </c>
      <c r="Y845" t="s">
        <v>11661</v>
      </c>
      <c r="Z845" t="s">
        <v>74</v>
      </c>
      <c r="AA845" t="s">
        <v>11662</v>
      </c>
      <c r="AB845" t="s">
        <v>11663</v>
      </c>
      <c r="AC845" t="s">
        <v>74</v>
      </c>
      <c r="AD845" t="s">
        <v>74</v>
      </c>
      <c r="AE845" t="s">
        <v>74</v>
      </c>
      <c r="AF845" t="s">
        <v>74</v>
      </c>
      <c r="AG845">
        <v>79</v>
      </c>
      <c r="AH845">
        <v>118</v>
      </c>
      <c r="AI845">
        <v>139</v>
      </c>
      <c r="AJ845">
        <v>0</v>
      </c>
      <c r="AK845">
        <v>15</v>
      </c>
      <c r="AL845" t="s">
        <v>1259</v>
      </c>
      <c r="AM845" t="s">
        <v>561</v>
      </c>
      <c r="AN845" t="s">
        <v>1260</v>
      </c>
      <c r="AO845" t="s">
        <v>11664</v>
      </c>
      <c r="AP845" t="s">
        <v>74</v>
      </c>
      <c r="AQ845" t="s">
        <v>74</v>
      </c>
      <c r="AR845" t="s">
        <v>11665</v>
      </c>
      <c r="AS845" t="s">
        <v>11666</v>
      </c>
      <c r="AT845" t="s">
        <v>11370</v>
      </c>
      <c r="AU845">
        <v>2002</v>
      </c>
      <c r="AV845">
        <v>143</v>
      </c>
      <c r="AW845">
        <v>5</v>
      </c>
      <c r="AX845" t="s">
        <v>74</v>
      </c>
      <c r="AY845" t="s">
        <v>74</v>
      </c>
      <c r="AZ845" t="s">
        <v>74</v>
      </c>
      <c r="BA845" t="s">
        <v>74</v>
      </c>
      <c r="BB845">
        <v>551</v>
      </c>
      <c r="BC845">
        <v>566</v>
      </c>
      <c r="BD845" t="s">
        <v>74</v>
      </c>
      <c r="BE845" t="s">
        <v>11667</v>
      </c>
      <c r="BF845" t="str">
        <f>HYPERLINK("http://dx.doi.org/10.1007/s00410-002-0366-5","http://dx.doi.org/10.1007/s00410-002-0366-5")</f>
        <v>http://dx.doi.org/10.1007/s00410-002-0366-5</v>
      </c>
      <c r="BG845" t="s">
        <v>74</v>
      </c>
      <c r="BH845" t="s">
        <v>74</v>
      </c>
      <c r="BI845">
        <v>16</v>
      </c>
      <c r="BJ845" t="s">
        <v>3162</v>
      </c>
      <c r="BK845" t="s">
        <v>569</v>
      </c>
      <c r="BL845" t="s">
        <v>3162</v>
      </c>
      <c r="BM845" t="s">
        <v>11668</v>
      </c>
      <c r="BN845" t="s">
        <v>74</v>
      </c>
      <c r="BO845" t="s">
        <v>794</v>
      </c>
      <c r="BP845" t="s">
        <v>74</v>
      </c>
      <c r="BQ845" t="s">
        <v>74</v>
      </c>
      <c r="BR845" t="s">
        <v>98</v>
      </c>
      <c r="BS845" t="s">
        <v>11669</v>
      </c>
      <c r="BT845" t="str">
        <f>HYPERLINK("https%3A%2F%2Fwww.webofscience.com%2Fwos%2Fwoscc%2Ffull-record%2FWOS:000177688500003","View Full Record in Web of Science")</f>
        <v>View Full Record in Web of Science</v>
      </c>
    </row>
    <row r="846" spans="1:72" x14ac:dyDescent="0.15">
      <c r="A846" t="s">
        <v>552</v>
      </c>
      <c r="B846" t="s">
        <v>11670</v>
      </c>
      <c r="C846" t="s">
        <v>74</v>
      </c>
      <c r="D846" t="s">
        <v>74</v>
      </c>
      <c r="E846" t="s">
        <v>74</v>
      </c>
      <c r="F846" t="s">
        <v>11670</v>
      </c>
      <c r="G846" t="s">
        <v>74</v>
      </c>
      <c r="H846" t="s">
        <v>74</v>
      </c>
      <c r="I846" t="s">
        <v>11671</v>
      </c>
      <c r="J846" t="s">
        <v>1381</v>
      </c>
      <c r="K846" t="s">
        <v>74</v>
      </c>
      <c r="L846" t="s">
        <v>74</v>
      </c>
      <c r="M846" t="s">
        <v>78</v>
      </c>
      <c r="N846" t="s">
        <v>775</v>
      </c>
      <c r="O846" t="s">
        <v>74</v>
      </c>
      <c r="P846" t="s">
        <v>74</v>
      </c>
      <c r="Q846" t="s">
        <v>74</v>
      </c>
      <c r="R846" t="s">
        <v>74</v>
      </c>
      <c r="S846" t="s">
        <v>74</v>
      </c>
      <c r="T846" t="s">
        <v>11672</v>
      </c>
      <c r="U846" t="s">
        <v>11673</v>
      </c>
      <c r="V846" t="s">
        <v>11674</v>
      </c>
      <c r="W846" t="s">
        <v>11675</v>
      </c>
      <c r="X846" t="s">
        <v>11676</v>
      </c>
      <c r="Y846" t="s">
        <v>11677</v>
      </c>
      <c r="Z846" t="s">
        <v>11678</v>
      </c>
      <c r="AA846" t="s">
        <v>11679</v>
      </c>
      <c r="AB846" t="s">
        <v>11680</v>
      </c>
      <c r="AC846" t="s">
        <v>74</v>
      </c>
      <c r="AD846" t="s">
        <v>74</v>
      </c>
      <c r="AE846" t="s">
        <v>74</v>
      </c>
      <c r="AF846" t="s">
        <v>74</v>
      </c>
      <c r="AG846">
        <v>74</v>
      </c>
      <c r="AH846">
        <v>70</v>
      </c>
      <c r="AI846">
        <v>96</v>
      </c>
      <c r="AJ846">
        <v>0</v>
      </c>
      <c r="AK846">
        <v>35</v>
      </c>
      <c r="AL846" t="s">
        <v>806</v>
      </c>
      <c r="AM846" t="s">
        <v>807</v>
      </c>
      <c r="AN846" t="s">
        <v>808</v>
      </c>
      <c r="AO846" t="s">
        <v>1389</v>
      </c>
      <c r="AP846" t="s">
        <v>1390</v>
      </c>
      <c r="AQ846" t="s">
        <v>74</v>
      </c>
      <c r="AR846" t="s">
        <v>1391</v>
      </c>
      <c r="AS846" t="s">
        <v>1392</v>
      </c>
      <c r="AT846" t="s">
        <v>11370</v>
      </c>
      <c r="AU846">
        <v>2002</v>
      </c>
      <c r="AV846">
        <v>49</v>
      </c>
      <c r="AW846">
        <v>8</v>
      </c>
      <c r="AX846" t="s">
        <v>74</v>
      </c>
      <c r="AY846" t="s">
        <v>74</v>
      </c>
      <c r="AZ846" t="s">
        <v>74</v>
      </c>
      <c r="BA846" t="s">
        <v>74</v>
      </c>
      <c r="BB846">
        <v>1463</v>
      </c>
      <c r="BC846">
        <v>1483</v>
      </c>
      <c r="BD846" t="s">
        <v>11681</v>
      </c>
      <c r="BE846" t="s">
        <v>11682</v>
      </c>
      <c r="BF846" t="str">
        <f>HYPERLINK("http://dx.doi.org/10.1016/S0967-0637(02)00031-6","http://dx.doi.org/10.1016/S0967-0637(02)00031-6")</f>
        <v>http://dx.doi.org/10.1016/S0967-0637(02)00031-6</v>
      </c>
      <c r="BG846" t="s">
        <v>74</v>
      </c>
      <c r="BH846" t="s">
        <v>74</v>
      </c>
      <c r="BI846">
        <v>21</v>
      </c>
      <c r="BJ846" t="s">
        <v>1394</v>
      </c>
      <c r="BK846" t="s">
        <v>569</v>
      </c>
      <c r="BL846" t="s">
        <v>1394</v>
      </c>
      <c r="BM846" t="s">
        <v>11683</v>
      </c>
      <c r="BN846" t="s">
        <v>74</v>
      </c>
      <c r="BO846" t="s">
        <v>74</v>
      </c>
      <c r="BP846" t="s">
        <v>74</v>
      </c>
      <c r="BQ846" t="s">
        <v>74</v>
      </c>
      <c r="BR846" t="s">
        <v>98</v>
      </c>
      <c r="BS846" t="s">
        <v>11684</v>
      </c>
      <c r="BT846" t="str">
        <f>HYPERLINK("https%3A%2F%2Fwww.webofscience.com%2Fwos%2Fwoscc%2Ffull-record%2FWOS:000178064400009","View Full Record in Web of Science")</f>
        <v>View Full Record in Web of Science</v>
      </c>
    </row>
    <row r="847" spans="1:72" x14ac:dyDescent="0.15">
      <c r="A847" t="s">
        <v>552</v>
      </c>
      <c r="B847" t="s">
        <v>11685</v>
      </c>
      <c r="C847" t="s">
        <v>74</v>
      </c>
      <c r="D847" t="s">
        <v>74</v>
      </c>
      <c r="E847" t="s">
        <v>74</v>
      </c>
      <c r="F847" t="s">
        <v>11685</v>
      </c>
      <c r="G847" t="s">
        <v>74</v>
      </c>
      <c r="H847" t="s">
        <v>74</v>
      </c>
      <c r="I847" t="s">
        <v>11686</v>
      </c>
      <c r="J847" t="s">
        <v>11687</v>
      </c>
      <c r="K847" t="s">
        <v>74</v>
      </c>
      <c r="L847" t="s">
        <v>74</v>
      </c>
      <c r="M847" t="s">
        <v>78</v>
      </c>
      <c r="N847" t="s">
        <v>775</v>
      </c>
      <c r="O847" t="s">
        <v>74</v>
      </c>
      <c r="P847" t="s">
        <v>74</v>
      </c>
      <c r="Q847" t="s">
        <v>74</v>
      </c>
      <c r="R847" t="s">
        <v>74</v>
      </c>
      <c r="S847" t="s">
        <v>74</v>
      </c>
      <c r="T847" t="s">
        <v>11688</v>
      </c>
      <c r="U847" t="s">
        <v>11689</v>
      </c>
      <c r="V847" t="s">
        <v>11690</v>
      </c>
      <c r="W847" t="s">
        <v>11691</v>
      </c>
      <c r="X847" t="s">
        <v>11692</v>
      </c>
      <c r="Y847" t="s">
        <v>11693</v>
      </c>
      <c r="Z847" t="s">
        <v>2915</v>
      </c>
      <c r="AA847" t="s">
        <v>11694</v>
      </c>
      <c r="AB847" t="s">
        <v>11695</v>
      </c>
      <c r="AC847" t="s">
        <v>74</v>
      </c>
      <c r="AD847" t="s">
        <v>74</v>
      </c>
      <c r="AE847" t="s">
        <v>74</v>
      </c>
      <c r="AF847" t="s">
        <v>74</v>
      </c>
      <c r="AG847">
        <v>67</v>
      </c>
      <c r="AH847">
        <v>24</v>
      </c>
      <c r="AI847">
        <v>24</v>
      </c>
      <c r="AJ847">
        <v>1</v>
      </c>
      <c r="AK847">
        <v>9</v>
      </c>
      <c r="AL847" t="s">
        <v>7385</v>
      </c>
      <c r="AM847" t="s">
        <v>7386</v>
      </c>
      <c r="AN847" t="s">
        <v>7387</v>
      </c>
      <c r="AO847" t="s">
        <v>11696</v>
      </c>
      <c r="AP847" t="s">
        <v>11697</v>
      </c>
      <c r="AQ847" t="s">
        <v>74</v>
      </c>
      <c r="AR847" t="s">
        <v>11698</v>
      </c>
      <c r="AS847" t="s">
        <v>11699</v>
      </c>
      <c r="AT847" t="s">
        <v>11370</v>
      </c>
      <c r="AU847">
        <v>2002</v>
      </c>
      <c r="AV847">
        <v>31</v>
      </c>
      <c r="AW847">
        <v>4</v>
      </c>
      <c r="AX847" t="s">
        <v>74</v>
      </c>
      <c r="AY847" t="s">
        <v>74</v>
      </c>
      <c r="AZ847" t="s">
        <v>74</v>
      </c>
      <c r="BA847" t="s">
        <v>74</v>
      </c>
      <c r="BB847">
        <v>612</v>
      </c>
      <c r="BC847">
        <v>625</v>
      </c>
      <c r="BD847" t="s">
        <v>74</v>
      </c>
      <c r="BE847" t="s">
        <v>11700</v>
      </c>
      <c r="BF847" t="str">
        <f>HYPERLINK("http://dx.doi.org/10.1603/0046-225X-31.4.612","http://dx.doi.org/10.1603/0046-225X-31.4.612")</f>
        <v>http://dx.doi.org/10.1603/0046-225X-31.4.612</v>
      </c>
      <c r="BG847" t="s">
        <v>74</v>
      </c>
      <c r="BH847" t="s">
        <v>74</v>
      </c>
      <c r="BI847">
        <v>14</v>
      </c>
      <c r="BJ847" t="s">
        <v>2041</v>
      </c>
      <c r="BK847" t="s">
        <v>569</v>
      </c>
      <c r="BL847" t="s">
        <v>2041</v>
      </c>
      <c r="BM847" t="s">
        <v>11701</v>
      </c>
      <c r="BN847" t="s">
        <v>74</v>
      </c>
      <c r="BO847" t="s">
        <v>2660</v>
      </c>
      <c r="BP847" t="s">
        <v>74</v>
      </c>
      <c r="BQ847" t="s">
        <v>74</v>
      </c>
      <c r="BR847" t="s">
        <v>98</v>
      </c>
      <c r="BS847" t="s">
        <v>11702</v>
      </c>
      <c r="BT847" t="str">
        <f>HYPERLINK("https%3A%2F%2Fwww.webofscience.com%2Fwos%2Fwoscc%2Ffull-record%2FWOS:000177610500007","View Full Record in Web of Science")</f>
        <v>View Full Record in Web of Science</v>
      </c>
    </row>
    <row r="848" spans="1:72" x14ac:dyDescent="0.15">
      <c r="A848" t="s">
        <v>552</v>
      </c>
      <c r="B848" t="s">
        <v>11703</v>
      </c>
      <c r="C848" t="s">
        <v>74</v>
      </c>
      <c r="D848" t="s">
        <v>74</v>
      </c>
      <c r="E848" t="s">
        <v>74</v>
      </c>
      <c r="F848" t="s">
        <v>11703</v>
      </c>
      <c r="G848" t="s">
        <v>74</v>
      </c>
      <c r="H848" t="s">
        <v>74</v>
      </c>
      <c r="I848" t="s">
        <v>11704</v>
      </c>
      <c r="J848" t="s">
        <v>11705</v>
      </c>
      <c r="K848" t="s">
        <v>74</v>
      </c>
      <c r="L848" t="s">
        <v>74</v>
      </c>
      <c r="M848" t="s">
        <v>78</v>
      </c>
      <c r="N848" t="s">
        <v>775</v>
      </c>
      <c r="O848" t="s">
        <v>74</v>
      </c>
      <c r="P848" t="s">
        <v>74</v>
      </c>
      <c r="Q848" t="s">
        <v>74</v>
      </c>
      <c r="R848" t="s">
        <v>74</v>
      </c>
      <c r="S848" t="s">
        <v>74</v>
      </c>
      <c r="T848" t="s">
        <v>11706</v>
      </c>
      <c r="U848" t="s">
        <v>11707</v>
      </c>
      <c r="V848" t="s">
        <v>11708</v>
      </c>
      <c r="W848" t="s">
        <v>11709</v>
      </c>
      <c r="X848" t="s">
        <v>11710</v>
      </c>
      <c r="Y848" t="s">
        <v>11711</v>
      </c>
      <c r="Z848" t="s">
        <v>11712</v>
      </c>
      <c r="AA848" t="s">
        <v>11713</v>
      </c>
      <c r="AB848" t="s">
        <v>11714</v>
      </c>
      <c r="AC848" t="s">
        <v>74</v>
      </c>
      <c r="AD848" t="s">
        <v>74</v>
      </c>
      <c r="AE848" t="s">
        <v>74</v>
      </c>
      <c r="AF848" t="s">
        <v>74</v>
      </c>
      <c r="AG848">
        <v>43</v>
      </c>
      <c r="AH848">
        <v>129</v>
      </c>
      <c r="AI848">
        <v>146</v>
      </c>
      <c r="AJ848">
        <v>1</v>
      </c>
      <c r="AK848">
        <v>28</v>
      </c>
      <c r="AL848" t="s">
        <v>942</v>
      </c>
      <c r="AM848" t="s">
        <v>807</v>
      </c>
      <c r="AN848" t="s">
        <v>943</v>
      </c>
      <c r="AO848" t="s">
        <v>11715</v>
      </c>
      <c r="AP848" t="s">
        <v>11716</v>
      </c>
      <c r="AQ848" t="s">
        <v>74</v>
      </c>
      <c r="AR848" t="s">
        <v>11717</v>
      </c>
      <c r="AS848" t="s">
        <v>11718</v>
      </c>
      <c r="AT848" t="s">
        <v>11370</v>
      </c>
      <c r="AU848">
        <v>2002</v>
      </c>
      <c r="AV848">
        <v>41</v>
      </c>
      <c r="AW848">
        <v>2</v>
      </c>
      <c r="AX848" t="s">
        <v>74</v>
      </c>
      <c r="AY848" t="s">
        <v>74</v>
      </c>
      <c r="AZ848" t="s">
        <v>74</v>
      </c>
      <c r="BA848" t="s">
        <v>74</v>
      </c>
      <c r="BB848">
        <v>141</v>
      </c>
      <c r="BC848">
        <v>150</v>
      </c>
      <c r="BD848" t="s">
        <v>11719</v>
      </c>
      <c r="BE848" t="s">
        <v>11720</v>
      </c>
      <c r="BF848" t="str">
        <f>HYPERLINK("http://dx.doi.org/10.1016/S0168-6496(02)00282-9","http://dx.doi.org/10.1016/S0168-6496(02)00282-9")</f>
        <v>http://dx.doi.org/10.1016/S0168-6496(02)00282-9</v>
      </c>
      <c r="BG848" t="s">
        <v>74</v>
      </c>
      <c r="BH848" t="s">
        <v>74</v>
      </c>
      <c r="BI848">
        <v>10</v>
      </c>
      <c r="BJ848" t="s">
        <v>2446</v>
      </c>
      <c r="BK848" t="s">
        <v>569</v>
      </c>
      <c r="BL848" t="s">
        <v>2446</v>
      </c>
      <c r="BM848" t="s">
        <v>11721</v>
      </c>
      <c r="BN848">
        <v>19709248</v>
      </c>
      <c r="BO848" t="s">
        <v>794</v>
      </c>
      <c r="BP848" t="s">
        <v>74</v>
      </c>
      <c r="BQ848" t="s">
        <v>74</v>
      </c>
      <c r="BR848" t="s">
        <v>98</v>
      </c>
      <c r="BS848" t="s">
        <v>11722</v>
      </c>
      <c r="BT848" t="str">
        <f>HYPERLINK("https%3A%2F%2Fwww.webofscience.com%2Fwos%2Fwoscc%2Ffull-record%2FWOS:000177585000007","View Full Record in Web of Science")</f>
        <v>View Full Record in Web of Science</v>
      </c>
    </row>
    <row r="849" spans="1:72" x14ac:dyDescent="0.15">
      <c r="A849" t="s">
        <v>552</v>
      </c>
      <c r="B849" t="s">
        <v>11723</v>
      </c>
      <c r="C849" t="s">
        <v>74</v>
      </c>
      <c r="D849" t="s">
        <v>74</v>
      </c>
      <c r="E849" t="s">
        <v>74</v>
      </c>
      <c r="F849" t="s">
        <v>11723</v>
      </c>
      <c r="G849" t="s">
        <v>74</v>
      </c>
      <c r="H849" t="s">
        <v>74</v>
      </c>
      <c r="I849" t="s">
        <v>11724</v>
      </c>
      <c r="J849" t="s">
        <v>11725</v>
      </c>
      <c r="K849" t="s">
        <v>74</v>
      </c>
      <c r="L849" t="s">
        <v>74</v>
      </c>
      <c r="M849" t="s">
        <v>78</v>
      </c>
      <c r="N849" t="s">
        <v>775</v>
      </c>
      <c r="O849" t="s">
        <v>74</v>
      </c>
      <c r="P849" t="s">
        <v>74</v>
      </c>
      <c r="Q849" t="s">
        <v>74</v>
      </c>
      <c r="R849" t="s">
        <v>74</v>
      </c>
      <c r="S849" t="s">
        <v>74</v>
      </c>
      <c r="T849" t="s">
        <v>11726</v>
      </c>
      <c r="U849" t="s">
        <v>11727</v>
      </c>
      <c r="V849" t="s">
        <v>11728</v>
      </c>
      <c r="W849" t="s">
        <v>11729</v>
      </c>
      <c r="X849" t="s">
        <v>11730</v>
      </c>
      <c r="Y849" t="s">
        <v>11731</v>
      </c>
      <c r="Z849" t="s">
        <v>74</v>
      </c>
      <c r="AA849" t="s">
        <v>74</v>
      </c>
      <c r="AB849" t="s">
        <v>74</v>
      </c>
      <c r="AC849" t="s">
        <v>74</v>
      </c>
      <c r="AD849" t="s">
        <v>74</v>
      </c>
      <c r="AE849" t="s">
        <v>74</v>
      </c>
      <c r="AF849" t="s">
        <v>74</v>
      </c>
      <c r="AG849">
        <v>34</v>
      </c>
      <c r="AH849">
        <v>16</v>
      </c>
      <c r="AI849">
        <v>24</v>
      </c>
      <c r="AJ849">
        <v>0</v>
      </c>
      <c r="AK849">
        <v>14</v>
      </c>
      <c r="AL849" t="s">
        <v>11732</v>
      </c>
      <c r="AM849" t="s">
        <v>11733</v>
      </c>
      <c r="AN849" t="s">
        <v>11734</v>
      </c>
      <c r="AO849" t="s">
        <v>11735</v>
      </c>
      <c r="AP849" t="s">
        <v>74</v>
      </c>
      <c r="AQ849" t="s">
        <v>74</v>
      </c>
      <c r="AR849" t="s">
        <v>11736</v>
      </c>
      <c r="AS849" t="s">
        <v>11737</v>
      </c>
      <c r="AT849" t="s">
        <v>11370</v>
      </c>
      <c r="AU849">
        <v>2002</v>
      </c>
      <c r="AV849">
        <v>8</v>
      </c>
      <c r="AW849">
        <v>3</v>
      </c>
      <c r="AX849" t="s">
        <v>74</v>
      </c>
      <c r="AY849" t="s">
        <v>74</v>
      </c>
      <c r="AZ849" t="s">
        <v>74</v>
      </c>
      <c r="BA849" t="s">
        <v>74</v>
      </c>
      <c r="BB849">
        <v>200</v>
      </c>
      <c r="BC849">
        <v>206</v>
      </c>
      <c r="BD849" t="s">
        <v>74</v>
      </c>
      <c r="BE849" t="s">
        <v>11738</v>
      </c>
      <c r="BF849" t="str">
        <f>HYPERLINK("http://dx.doi.org/10.3136/fstr.8.200","http://dx.doi.org/10.3136/fstr.8.200")</f>
        <v>http://dx.doi.org/10.3136/fstr.8.200</v>
      </c>
      <c r="BG849" t="s">
        <v>74</v>
      </c>
      <c r="BH849" t="s">
        <v>74</v>
      </c>
      <c r="BI849">
        <v>7</v>
      </c>
      <c r="BJ849" t="s">
        <v>11739</v>
      </c>
      <c r="BK849" t="s">
        <v>569</v>
      </c>
      <c r="BL849" t="s">
        <v>11739</v>
      </c>
      <c r="BM849" t="s">
        <v>11740</v>
      </c>
      <c r="BN849" t="s">
        <v>74</v>
      </c>
      <c r="BO849" t="s">
        <v>572</v>
      </c>
      <c r="BP849" t="s">
        <v>74</v>
      </c>
      <c r="BQ849" t="s">
        <v>74</v>
      </c>
      <c r="BR849" t="s">
        <v>98</v>
      </c>
      <c r="BS849" t="s">
        <v>11741</v>
      </c>
      <c r="BT849" t="str">
        <f>HYPERLINK("https%3A%2F%2Fwww.webofscience.com%2Fwos%2Fwoscc%2Ffull-record%2FWOS:000177888000002","View Full Record in Web of Science")</f>
        <v>View Full Record in Web of Science</v>
      </c>
    </row>
    <row r="850" spans="1:72" x14ac:dyDescent="0.15">
      <c r="A850" t="s">
        <v>552</v>
      </c>
      <c r="B850" t="s">
        <v>11742</v>
      </c>
      <c r="C850" t="s">
        <v>74</v>
      </c>
      <c r="D850" t="s">
        <v>74</v>
      </c>
      <c r="E850" t="s">
        <v>74</v>
      </c>
      <c r="F850" t="s">
        <v>11742</v>
      </c>
      <c r="G850" t="s">
        <v>74</v>
      </c>
      <c r="H850" t="s">
        <v>74</v>
      </c>
      <c r="I850" t="s">
        <v>11743</v>
      </c>
      <c r="J850" t="s">
        <v>11744</v>
      </c>
      <c r="K850" t="s">
        <v>74</v>
      </c>
      <c r="L850" t="s">
        <v>74</v>
      </c>
      <c r="M850" t="s">
        <v>78</v>
      </c>
      <c r="N850" t="s">
        <v>52</v>
      </c>
      <c r="O850" t="s">
        <v>74</v>
      </c>
      <c r="P850" t="s">
        <v>74</v>
      </c>
      <c r="Q850" t="s">
        <v>74</v>
      </c>
      <c r="R850" t="s">
        <v>74</v>
      </c>
      <c r="S850" t="s">
        <v>74</v>
      </c>
      <c r="T850" t="s">
        <v>74</v>
      </c>
      <c r="U850" t="s">
        <v>11745</v>
      </c>
      <c r="V850" t="s">
        <v>74</v>
      </c>
      <c r="W850" t="s">
        <v>11746</v>
      </c>
      <c r="X850" t="s">
        <v>11747</v>
      </c>
      <c r="Y850" t="s">
        <v>74</v>
      </c>
      <c r="Z850" t="s">
        <v>74</v>
      </c>
      <c r="AA850" t="s">
        <v>11748</v>
      </c>
      <c r="AB850" t="s">
        <v>74</v>
      </c>
      <c r="AC850" t="s">
        <v>74</v>
      </c>
      <c r="AD850" t="s">
        <v>74</v>
      </c>
      <c r="AE850" t="s">
        <v>74</v>
      </c>
      <c r="AF850" t="s">
        <v>74</v>
      </c>
      <c r="AG850">
        <v>2</v>
      </c>
      <c r="AH850">
        <v>0</v>
      </c>
      <c r="AI850">
        <v>0</v>
      </c>
      <c r="AJ850">
        <v>0</v>
      </c>
      <c r="AK850">
        <v>0</v>
      </c>
      <c r="AL850" t="s">
        <v>806</v>
      </c>
      <c r="AM850" t="s">
        <v>807</v>
      </c>
      <c r="AN850" t="s">
        <v>808</v>
      </c>
      <c r="AO850" t="s">
        <v>11749</v>
      </c>
      <c r="AP850" t="s">
        <v>74</v>
      </c>
      <c r="AQ850" t="s">
        <v>74</v>
      </c>
      <c r="AR850" t="s">
        <v>11750</v>
      </c>
      <c r="AS850" t="s">
        <v>11751</v>
      </c>
      <c r="AT850" t="s">
        <v>11370</v>
      </c>
      <c r="AU850">
        <v>2002</v>
      </c>
      <c r="AV850">
        <v>66</v>
      </c>
      <c r="AW850" t="s">
        <v>11752</v>
      </c>
      <c r="AX850" t="s">
        <v>74</v>
      </c>
      <c r="AY850">
        <v>1</v>
      </c>
      <c r="AZ850" t="s">
        <v>74</v>
      </c>
      <c r="BA850" t="s">
        <v>74</v>
      </c>
      <c r="BB850" t="s">
        <v>11753</v>
      </c>
      <c r="BC850" t="s">
        <v>11753</v>
      </c>
      <c r="BD850" t="s">
        <v>74</v>
      </c>
      <c r="BE850" t="s">
        <v>74</v>
      </c>
      <c r="BF850" t="s">
        <v>74</v>
      </c>
      <c r="BG850" t="s">
        <v>74</v>
      </c>
      <c r="BH850" t="s">
        <v>74</v>
      </c>
      <c r="BI850">
        <v>1</v>
      </c>
      <c r="BJ850" t="s">
        <v>2068</v>
      </c>
      <c r="BK850" t="s">
        <v>569</v>
      </c>
      <c r="BL850" t="s">
        <v>2068</v>
      </c>
      <c r="BM850" t="s">
        <v>11754</v>
      </c>
      <c r="BN850" t="s">
        <v>74</v>
      </c>
      <c r="BO850" t="s">
        <v>74</v>
      </c>
      <c r="BP850" t="s">
        <v>74</v>
      </c>
      <c r="BQ850" t="s">
        <v>74</v>
      </c>
      <c r="BR850" t="s">
        <v>98</v>
      </c>
      <c r="BS850" t="s">
        <v>11755</v>
      </c>
      <c r="BT850" t="str">
        <f>HYPERLINK("https%3A%2F%2Fwww.webofscience.com%2Fwos%2Fwoscc%2Ffull-record%2FWOS:000177423400251","View Full Record in Web of Science")</f>
        <v>View Full Record in Web of Science</v>
      </c>
    </row>
    <row r="851" spans="1:72" x14ac:dyDescent="0.15">
      <c r="A851" t="s">
        <v>552</v>
      </c>
      <c r="B851" t="s">
        <v>11756</v>
      </c>
      <c r="C851" t="s">
        <v>74</v>
      </c>
      <c r="D851" t="s">
        <v>74</v>
      </c>
      <c r="E851" t="s">
        <v>74</v>
      </c>
      <c r="F851" t="s">
        <v>11756</v>
      </c>
      <c r="G851" t="s">
        <v>74</v>
      </c>
      <c r="H851" t="s">
        <v>74</v>
      </c>
      <c r="I851" t="s">
        <v>11757</v>
      </c>
      <c r="J851" t="s">
        <v>11744</v>
      </c>
      <c r="K851" t="s">
        <v>74</v>
      </c>
      <c r="L851" t="s">
        <v>74</v>
      </c>
      <c r="M851" t="s">
        <v>78</v>
      </c>
      <c r="N851" t="s">
        <v>52</v>
      </c>
      <c r="O851" t="s">
        <v>74</v>
      </c>
      <c r="P851" t="s">
        <v>74</v>
      </c>
      <c r="Q851" t="s">
        <v>74</v>
      </c>
      <c r="R851" t="s">
        <v>74</v>
      </c>
      <c r="S851" t="s">
        <v>74</v>
      </c>
      <c r="T851" t="s">
        <v>74</v>
      </c>
      <c r="U851" t="s">
        <v>74</v>
      </c>
      <c r="V851" t="s">
        <v>74</v>
      </c>
      <c r="W851" t="s">
        <v>11758</v>
      </c>
      <c r="X851" t="s">
        <v>11759</v>
      </c>
      <c r="Y851" t="s">
        <v>74</v>
      </c>
      <c r="Z851" t="s">
        <v>74</v>
      </c>
      <c r="AA851" t="s">
        <v>74</v>
      </c>
      <c r="AB851" t="s">
        <v>74</v>
      </c>
      <c r="AC851" t="s">
        <v>74</v>
      </c>
      <c r="AD851" t="s">
        <v>74</v>
      </c>
      <c r="AE851" t="s">
        <v>74</v>
      </c>
      <c r="AF851" t="s">
        <v>74</v>
      </c>
      <c r="AG851">
        <v>4</v>
      </c>
      <c r="AH851">
        <v>0</v>
      </c>
      <c r="AI851">
        <v>0</v>
      </c>
      <c r="AJ851">
        <v>0</v>
      </c>
      <c r="AK851">
        <v>2</v>
      </c>
      <c r="AL851" t="s">
        <v>806</v>
      </c>
      <c r="AM851" t="s">
        <v>807</v>
      </c>
      <c r="AN851" t="s">
        <v>808</v>
      </c>
      <c r="AO851" t="s">
        <v>11749</v>
      </c>
      <c r="AP851" t="s">
        <v>74</v>
      </c>
      <c r="AQ851" t="s">
        <v>74</v>
      </c>
      <c r="AR851" t="s">
        <v>11750</v>
      </c>
      <c r="AS851" t="s">
        <v>11751</v>
      </c>
      <c r="AT851" t="s">
        <v>11370</v>
      </c>
      <c r="AU851">
        <v>2002</v>
      </c>
      <c r="AV851">
        <v>66</v>
      </c>
      <c r="AW851" t="s">
        <v>11752</v>
      </c>
      <c r="AX851" t="s">
        <v>74</v>
      </c>
      <c r="AY851">
        <v>1</v>
      </c>
      <c r="AZ851" t="s">
        <v>74</v>
      </c>
      <c r="BA851" t="s">
        <v>74</v>
      </c>
      <c r="BB851" t="s">
        <v>11760</v>
      </c>
      <c r="BC851" t="s">
        <v>11760</v>
      </c>
      <c r="BD851" t="s">
        <v>74</v>
      </c>
      <c r="BE851" t="s">
        <v>74</v>
      </c>
      <c r="BF851" t="s">
        <v>74</v>
      </c>
      <c r="BG851" t="s">
        <v>74</v>
      </c>
      <c r="BH851" t="s">
        <v>74</v>
      </c>
      <c r="BI851">
        <v>1</v>
      </c>
      <c r="BJ851" t="s">
        <v>2068</v>
      </c>
      <c r="BK851" t="s">
        <v>569</v>
      </c>
      <c r="BL851" t="s">
        <v>2068</v>
      </c>
      <c r="BM851" t="s">
        <v>11754</v>
      </c>
      <c r="BN851" t="s">
        <v>74</v>
      </c>
      <c r="BO851" t="s">
        <v>74</v>
      </c>
      <c r="BP851" t="s">
        <v>74</v>
      </c>
      <c r="BQ851" t="s">
        <v>74</v>
      </c>
      <c r="BR851" t="s">
        <v>98</v>
      </c>
      <c r="BS851" t="s">
        <v>11761</v>
      </c>
      <c r="BT851" t="str">
        <f>HYPERLINK("https%3A%2F%2Fwww.webofscience.com%2Fwos%2Fwoscc%2Ffull-record%2FWOS:000177423400399","View Full Record in Web of Science")</f>
        <v>View Full Record in Web of Science</v>
      </c>
    </row>
    <row r="852" spans="1:72" x14ac:dyDescent="0.15">
      <c r="A852" t="s">
        <v>552</v>
      </c>
      <c r="B852" t="s">
        <v>11762</v>
      </c>
      <c r="C852" t="s">
        <v>74</v>
      </c>
      <c r="D852" t="s">
        <v>74</v>
      </c>
      <c r="E852" t="s">
        <v>74</v>
      </c>
      <c r="F852" t="s">
        <v>11762</v>
      </c>
      <c r="G852" t="s">
        <v>74</v>
      </c>
      <c r="H852" t="s">
        <v>74</v>
      </c>
      <c r="I852" t="s">
        <v>11763</v>
      </c>
      <c r="J852" t="s">
        <v>11744</v>
      </c>
      <c r="K852" t="s">
        <v>74</v>
      </c>
      <c r="L852" t="s">
        <v>74</v>
      </c>
      <c r="M852" t="s">
        <v>78</v>
      </c>
      <c r="N852" t="s">
        <v>52</v>
      </c>
      <c r="O852" t="s">
        <v>74</v>
      </c>
      <c r="P852" t="s">
        <v>74</v>
      </c>
      <c r="Q852" t="s">
        <v>74</v>
      </c>
      <c r="R852" t="s">
        <v>74</v>
      </c>
      <c r="S852" t="s">
        <v>74</v>
      </c>
      <c r="T852" t="s">
        <v>74</v>
      </c>
      <c r="U852" t="s">
        <v>74</v>
      </c>
      <c r="V852" t="s">
        <v>74</v>
      </c>
      <c r="W852" t="s">
        <v>11764</v>
      </c>
      <c r="X852" t="s">
        <v>11765</v>
      </c>
      <c r="Y852" t="s">
        <v>74</v>
      </c>
      <c r="Z852" t="s">
        <v>74</v>
      </c>
      <c r="AA852" t="s">
        <v>11766</v>
      </c>
      <c r="AB852" t="s">
        <v>11767</v>
      </c>
      <c r="AC852" t="s">
        <v>74</v>
      </c>
      <c r="AD852" t="s">
        <v>74</v>
      </c>
      <c r="AE852" t="s">
        <v>74</v>
      </c>
      <c r="AF852" t="s">
        <v>74</v>
      </c>
      <c r="AG852">
        <v>0</v>
      </c>
      <c r="AH852">
        <v>1</v>
      </c>
      <c r="AI852">
        <v>1</v>
      </c>
      <c r="AJ852">
        <v>0</v>
      </c>
      <c r="AK852">
        <v>1</v>
      </c>
      <c r="AL852" t="s">
        <v>806</v>
      </c>
      <c r="AM852" t="s">
        <v>807</v>
      </c>
      <c r="AN852" t="s">
        <v>808</v>
      </c>
      <c r="AO852" t="s">
        <v>11749</v>
      </c>
      <c r="AP852" t="s">
        <v>74</v>
      </c>
      <c r="AQ852" t="s">
        <v>74</v>
      </c>
      <c r="AR852" t="s">
        <v>11750</v>
      </c>
      <c r="AS852" t="s">
        <v>11751</v>
      </c>
      <c r="AT852" t="s">
        <v>11370</v>
      </c>
      <c r="AU852">
        <v>2002</v>
      </c>
      <c r="AV852">
        <v>66</v>
      </c>
      <c r="AW852" t="s">
        <v>11752</v>
      </c>
      <c r="AX852" t="s">
        <v>74</v>
      </c>
      <c r="AY852">
        <v>1</v>
      </c>
      <c r="AZ852" t="s">
        <v>74</v>
      </c>
      <c r="BA852" t="s">
        <v>74</v>
      </c>
      <c r="BB852" t="s">
        <v>11768</v>
      </c>
      <c r="BC852" t="s">
        <v>11768</v>
      </c>
      <c r="BD852" t="s">
        <v>74</v>
      </c>
      <c r="BE852" t="s">
        <v>74</v>
      </c>
      <c r="BF852" t="s">
        <v>74</v>
      </c>
      <c r="BG852" t="s">
        <v>74</v>
      </c>
      <c r="BH852" t="s">
        <v>74</v>
      </c>
      <c r="BI852">
        <v>1</v>
      </c>
      <c r="BJ852" t="s">
        <v>2068</v>
      </c>
      <c r="BK852" t="s">
        <v>569</v>
      </c>
      <c r="BL852" t="s">
        <v>2068</v>
      </c>
      <c r="BM852" t="s">
        <v>11754</v>
      </c>
      <c r="BN852" t="s">
        <v>74</v>
      </c>
      <c r="BO852" t="s">
        <v>74</v>
      </c>
      <c r="BP852" t="s">
        <v>74</v>
      </c>
      <c r="BQ852" t="s">
        <v>74</v>
      </c>
      <c r="BR852" t="s">
        <v>98</v>
      </c>
      <c r="BS852" t="s">
        <v>11769</v>
      </c>
      <c r="BT852" t="str">
        <f>HYPERLINK("https%3A%2F%2Fwww.webofscience.com%2Fwos%2Fwoscc%2Ffull-record%2FWOS:000177423400457","View Full Record in Web of Science")</f>
        <v>View Full Record in Web of Science</v>
      </c>
    </row>
    <row r="853" spans="1:72" x14ac:dyDescent="0.15">
      <c r="A853" t="s">
        <v>552</v>
      </c>
      <c r="B853" t="s">
        <v>11770</v>
      </c>
      <c r="C853" t="s">
        <v>74</v>
      </c>
      <c r="D853" t="s">
        <v>74</v>
      </c>
      <c r="E853" t="s">
        <v>74</v>
      </c>
      <c r="F853" t="s">
        <v>11770</v>
      </c>
      <c r="G853" t="s">
        <v>74</v>
      </c>
      <c r="H853" t="s">
        <v>74</v>
      </c>
      <c r="I853" t="s">
        <v>11771</v>
      </c>
      <c r="J853" t="s">
        <v>11744</v>
      </c>
      <c r="K853" t="s">
        <v>74</v>
      </c>
      <c r="L853" t="s">
        <v>74</v>
      </c>
      <c r="M853" t="s">
        <v>78</v>
      </c>
      <c r="N853" t="s">
        <v>52</v>
      </c>
      <c r="O853" t="s">
        <v>74</v>
      </c>
      <c r="P853" t="s">
        <v>74</v>
      </c>
      <c r="Q853" t="s">
        <v>74</v>
      </c>
      <c r="R853" t="s">
        <v>74</v>
      </c>
      <c r="S853" t="s">
        <v>74</v>
      </c>
      <c r="T853" t="s">
        <v>74</v>
      </c>
      <c r="U853" t="s">
        <v>74</v>
      </c>
      <c r="V853" t="s">
        <v>74</v>
      </c>
      <c r="W853" t="s">
        <v>11772</v>
      </c>
      <c r="X853" t="s">
        <v>5957</v>
      </c>
      <c r="Y853" t="s">
        <v>74</v>
      </c>
      <c r="Z853" t="s">
        <v>74</v>
      </c>
      <c r="AA853" t="s">
        <v>11773</v>
      </c>
      <c r="AB853" t="s">
        <v>11774</v>
      </c>
      <c r="AC853" t="s">
        <v>74</v>
      </c>
      <c r="AD853" t="s">
        <v>74</v>
      </c>
      <c r="AE853" t="s">
        <v>74</v>
      </c>
      <c r="AF853" t="s">
        <v>74</v>
      </c>
      <c r="AG853">
        <v>0</v>
      </c>
      <c r="AH853">
        <v>0</v>
      </c>
      <c r="AI853">
        <v>0</v>
      </c>
      <c r="AJ853">
        <v>0</v>
      </c>
      <c r="AK853">
        <v>1</v>
      </c>
      <c r="AL853" t="s">
        <v>806</v>
      </c>
      <c r="AM853" t="s">
        <v>807</v>
      </c>
      <c r="AN853" t="s">
        <v>808</v>
      </c>
      <c r="AO853" t="s">
        <v>11749</v>
      </c>
      <c r="AP853" t="s">
        <v>74</v>
      </c>
      <c r="AQ853" t="s">
        <v>74</v>
      </c>
      <c r="AR853" t="s">
        <v>11750</v>
      </c>
      <c r="AS853" t="s">
        <v>11751</v>
      </c>
      <c r="AT853" t="s">
        <v>11370</v>
      </c>
      <c r="AU853">
        <v>2002</v>
      </c>
      <c r="AV853">
        <v>66</v>
      </c>
      <c r="AW853" t="s">
        <v>11752</v>
      </c>
      <c r="AX853" t="s">
        <v>74</v>
      </c>
      <c r="AY853">
        <v>1</v>
      </c>
      <c r="AZ853" t="s">
        <v>74</v>
      </c>
      <c r="BA853" t="s">
        <v>74</v>
      </c>
      <c r="BB853" t="s">
        <v>11775</v>
      </c>
      <c r="BC853" t="s">
        <v>11775</v>
      </c>
      <c r="BD853" t="s">
        <v>74</v>
      </c>
      <c r="BE853" t="s">
        <v>74</v>
      </c>
      <c r="BF853" t="s">
        <v>74</v>
      </c>
      <c r="BG853" t="s">
        <v>74</v>
      </c>
      <c r="BH853" t="s">
        <v>74</v>
      </c>
      <c r="BI853">
        <v>1</v>
      </c>
      <c r="BJ853" t="s">
        <v>2068</v>
      </c>
      <c r="BK853" t="s">
        <v>569</v>
      </c>
      <c r="BL853" t="s">
        <v>2068</v>
      </c>
      <c r="BM853" t="s">
        <v>11754</v>
      </c>
      <c r="BN853" t="s">
        <v>74</v>
      </c>
      <c r="BO853" t="s">
        <v>74</v>
      </c>
      <c r="BP853" t="s">
        <v>74</v>
      </c>
      <c r="BQ853" t="s">
        <v>74</v>
      </c>
      <c r="BR853" t="s">
        <v>98</v>
      </c>
      <c r="BS853" t="s">
        <v>11776</v>
      </c>
      <c r="BT853" t="str">
        <f>HYPERLINK("https%3A%2F%2Fwww.webofscience.com%2Fwos%2Fwoscc%2Ffull-record%2FWOS:000177423400479","View Full Record in Web of Science")</f>
        <v>View Full Record in Web of Science</v>
      </c>
    </row>
    <row r="854" spans="1:72" x14ac:dyDescent="0.15">
      <c r="A854" t="s">
        <v>552</v>
      </c>
      <c r="B854" t="s">
        <v>11777</v>
      </c>
      <c r="C854" t="s">
        <v>74</v>
      </c>
      <c r="D854" t="s">
        <v>74</v>
      </c>
      <c r="E854" t="s">
        <v>74</v>
      </c>
      <c r="F854" t="s">
        <v>11777</v>
      </c>
      <c r="G854" t="s">
        <v>74</v>
      </c>
      <c r="H854" t="s">
        <v>74</v>
      </c>
      <c r="I854" t="s">
        <v>11778</v>
      </c>
      <c r="J854" t="s">
        <v>11744</v>
      </c>
      <c r="K854" t="s">
        <v>74</v>
      </c>
      <c r="L854" t="s">
        <v>74</v>
      </c>
      <c r="M854" t="s">
        <v>78</v>
      </c>
      <c r="N854" t="s">
        <v>52</v>
      </c>
      <c r="O854" t="s">
        <v>74</v>
      </c>
      <c r="P854" t="s">
        <v>74</v>
      </c>
      <c r="Q854" t="s">
        <v>74</v>
      </c>
      <c r="R854" t="s">
        <v>74</v>
      </c>
      <c r="S854" t="s">
        <v>74</v>
      </c>
      <c r="T854" t="s">
        <v>74</v>
      </c>
      <c r="U854" t="s">
        <v>11779</v>
      </c>
      <c r="V854" t="s">
        <v>74</v>
      </c>
      <c r="W854" t="s">
        <v>11780</v>
      </c>
      <c r="X854" t="s">
        <v>11781</v>
      </c>
      <c r="Y854" t="s">
        <v>74</v>
      </c>
      <c r="Z854" t="s">
        <v>11782</v>
      </c>
      <c r="AA854" t="s">
        <v>11783</v>
      </c>
      <c r="AB854" t="s">
        <v>11784</v>
      </c>
      <c r="AC854" t="s">
        <v>74</v>
      </c>
      <c r="AD854" t="s">
        <v>74</v>
      </c>
      <c r="AE854" t="s">
        <v>74</v>
      </c>
      <c r="AF854" t="s">
        <v>74</v>
      </c>
      <c r="AG854">
        <v>6</v>
      </c>
      <c r="AH854">
        <v>0</v>
      </c>
      <c r="AI854">
        <v>0</v>
      </c>
      <c r="AJ854">
        <v>0</v>
      </c>
      <c r="AK854">
        <v>1</v>
      </c>
      <c r="AL854" t="s">
        <v>806</v>
      </c>
      <c r="AM854" t="s">
        <v>807</v>
      </c>
      <c r="AN854" t="s">
        <v>808</v>
      </c>
      <c r="AO854" t="s">
        <v>11749</v>
      </c>
      <c r="AP854" t="s">
        <v>74</v>
      </c>
      <c r="AQ854" t="s">
        <v>74</v>
      </c>
      <c r="AR854" t="s">
        <v>11750</v>
      </c>
      <c r="AS854" t="s">
        <v>11751</v>
      </c>
      <c r="AT854" t="s">
        <v>11370</v>
      </c>
      <c r="AU854">
        <v>2002</v>
      </c>
      <c r="AV854">
        <v>66</v>
      </c>
      <c r="AW854" t="s">
        <v>11752</v>
      </c>
      <c r="AX854" t="s">
        <v>74</v>
      </c>
      <c r="AY854">
        <v>1</v>
      </c>
      <c r="AZ854" t="s">
        <v>74</v>
      </c>
      <c r="BA854" t="s">
        <v>74</v>
      </c>
      <c r="BB854" t="s">
        <v>11785</v>
      </c>
      <c r="BC854" t="s">
        <v>11785</v>
      </c>
      <c r="BD854" t="s">
        <v>74</v>
      </c>
      <c r="BE854" t="s">
        <v>74</v>
      </c>
      <c r="BF854" t="s">
        <v>74</v>
      </c>
      <c r="BG854" t="s">
        <v>74</v>
      </c>
      <c r="BH854" t="s">
        <v>74</v>
      </c>
      <c r="BI854">
        <v>1</v>
      </c>
      <c r="BJ854" t="s">
        <v>2068</v>
      </c>
      <c r="BK854" t="s">
        <v>569</v>
      </c>
      <c r="BL854" t="s">
        <v>2068</v>
      </c>
      <c r="BM854" t="s">
        <v>11754</v>
      </c>
      <c r="BN854" t="s">
        <v>74</v>
      </c>
      <c r="BO854" t="s">
        <v>74</v>
      </c>
      <c r="BP854" t="s">
        <v>74</v>
      </c>
      <c r="BQ854" t="s">
        <v>74</v>
      </c>
      <c r="BR854" t="s">
        <v>98</v>
      </c>
      <c r="BS854" t="s">
        <v>11786</v>
      </c>
      <c r="BT854" t="str">
        <f>HYPERLINK("https%3A%2F%2Fwww.webofscience.com%2Fwos%2Fwoscc%2Ffull-record%2FWOS:000177423400538","View Full Record in Web of Science")</f>
        <v>View Full Record in Web of Science</v>
      </c>
    </row>
    <row r="855" spans="1:72" x14ac:dyDescent="0.15">
      <c r="A855" t="s">
        <v>552</v>
      </c>
      <c r="B855" t="s">
        <v>11787</v>
      </c>
      <c r="C855" t="s">
        <v>74</v>
      </c>
      <c r="D855" t="s">
        <v>74</v>
      </c>
      <c r="E855" t="s">
        <v>74</v>
      </c>
      <c r="F855" t="s">
        <v>11787</v>
      </c>
      <c r="G855" t="s">
        <v>74</v>
      </c>
      <c r="H855" t="s">
        <v>74</v>
      </c>
      <c r="I855" t="s">
        <v>11788</v>
      </c>
      <c r="J855" t="s">
        <v>11744</v>
      </c>
      <c r="K855" t="s">
        <v>74</v>
      </c>
      <c r="L855" t="s">
        <v>74</v>
      </c>
      <c r="M855" t="s">
        <v>78</v>
      </c>
      <c r="N855" t="s">
        <v>52</v>
      </c>
      <c r="O855" t="s">
        <v>74</v>
      </c>
      <c r="P855" t="s">
        <v>74</v>
      </c>
      <c r="Q855" t="s">
        <v>74</v>
      </c>
      <c r="R855" t="s">
        <v>74</v>
      </c>
      <c r="S855" t="s">
        <v>74</v>
      </c>
      <c r="T855" t="s">
        <v>74</v>
      </c>
      <c r="U855" t="s">
        <v>74</v>
      </c>
      <c r="V855" t="s">
        <v>74</v>
      </c>
      <c r="W855" t="s">
        <v>11789</v>
      </c>
      <c r="X855" t="s">
        <v>2205</v>
      </c>
      <c r="Y855" t="s">
        <v>74</v>
      </c>
      <c r="Z855" t="s">
        <v>74</v>
      </c>
      <c r="AA855" t="s">
        <v>74</v>
      </c>
      <c r="AB855" t="s">
        <v>74</v>
      </c>
      <c r="AC855" t="s">
        <v>74</v>
      </c>
      <c r="AD855" t="s">
        <v>74</v>
      </c>
      <c r="AE855" t="s">
        <v>74</v>
      </c>
      <c r="AF855" t="s">
        <v>74</v>
      </c>
      <c r="AG855">
        <v>4</v>
      </c>
      <c r="AH855">
        <v>0</v>
      </c>
      <c r="AI855">
        <v>0</v>
      </c>
      <c r="AJ855">
        <v>0</v>
      </c>
      <c r="AK855">
        <v>0</v>
      </c>
      <c r="AL855" t="s">
        <v>806</v>
      </c>
      <c r="AM855" t="s">
        <v>807</v>
      </c>
      <c r="AN855" t="s">
        <v>808</v>
      </c>
      <c r="AO855" t="s">
        <v>11749</v>
      </c>
      <c r="AP855" t="s">
        <v>74</v>
      </c>
      <c r="AQ855" t="s">
        <v>74</v>
      </c>
      <c r="AR855" t="s">
        <v>11750</v>
      </c>
      <c r="AS855" t="s">
        <v>11751</v>
      </c>
      <c r="AT855" t="s">
        <v>11370</v>
      </c>
      <c r="AU855">
        <v>2002</v>
      </c>
      <c r="AV855">
        <v>66</v>
      </c>
      <c r="AW855" t="s">
        <v>11752</v>
      </c>
      <c r="AX855" t="s">
        <v>74</v>
      </c>
      <c r="AY855">
        <v>1</v>
      </c>
      <c r="AZ855" t="s">
        <v>74</v>
      </c>
      <c r="BA855" t="s">
        <v>74</v>
      </c>
      <c r="BB855" t="s">
        <v>11790</v>
      </c>
      <c r="BC855" t="s">
        <v>11790</v>
      </c>
      <c r="BD855" t="s">
        <v>74</v>
      </c>
      <c r="BE855" t="s">
        <v>74</v>
      </c>
      <c r="BF855" t="s">
        <v>74</v>
      </c>
      <c r="BG855" t="s">
        <v>74</v>
      </c>
      <c r="BH855" t="s">
        <v>74</v>
      </c>
      <c r="BI855">
        <v>1</v>
      </c>
      <c r="BJ855" t="s">
        <v>2068</v>
      </c>
      <c r="BK855" t="s">
        <v>569</v>
      </c>
      <c r="BL855" t="s">
        <v>2068</v>
      </c>
      <c r="BM855" t="s">
        <v>11754</v>
      </c>
      <c r="BN855" t="s">
        <v>74</v>
      </c>
      <c r="BO855" t="s">
        <v>74</v>
      </c>
      <c r="BP855" t="s">
        <v>74</v>
      </c>
      <c r="BQ855" t="s">
        <v>74</v>
      </c>
      <c r="BR855" t="s">
        <v>98</v>
      </c>
      <c r="BS855" t="s">
        <v>11791</v>
      </c>
      <c r="BT855" t="str">
        <f>HYPERLINK("https%3A%2F%2Fwww.webofscience.com%2Fwos%2Fwoscc%2Ffull-record%2FWOS:000177423401061","View Full Record in Web of Science")</f>
        <v>View Full Record in Web of Science</v>
      </c>
    </row>
    <row r="856" spans="1:72" x14ac:dyDescent="0.15">
      <c r="A856" t="s">
        <v>552</v>
      </c>
      <c r="B856" t="s">
        <v>11792</v>
      </c>
      <c r="C856" t="s">
        <v>74</v>
      </c>
      <c r="D856" t="s">
        <v>74</v>
      </c>
      <c r="E856" t="s">
        <v>74</v>
      </c>
      <c r="F856" t="s">
        <v>11792</v>
      </c>
      <c r="G856" t="s">
        <v>74</v>
      </c>
      <c r="H856" t="s">
        <v>74</v>
      </c>
      <c r="I856" t="s">
        <v>11793</v>
      </c>
      <c r="J856" t="s">
        <v>11744</v>
      </c>
      <c r="K856" t="s">
        <v>74</v>
      </c>
      <c r="L856" t="s">
        <v>74</v>
      </c>
      <c r="M856" t="s">
        <v>78</v>
      </c>
      <c r="N856" t="s">
        <v>52</v>
      </c>
      <c r="O856" t="s">
        <v>74</v>
      </c>
      <c r="P856" t="s">
        <v>74</v>
      </c>
      <c r="Q856" t="s">
        <v>74</v>
      </c>
      <c r="R856" t="s">
        <v>74</v>
      </c>
      <c r="S856" t="s">
        <v>74</v>
      </c>
      <c r="T856" t="s">
        <v>74</v>
      </c>
      <c r="U856" t="s">
        <v>74</v>
      </c>
      <c r="V856" t="s">
        <v>74</v>
      </c>
      <c r="W856" t="s">
        <v>11794</v>
      </c>
      <c r="X856" t="s">
        <v>11795</v>
      </c>
      <c r="Y856" t="s">
        <v>74</v>
      </c>
      <c r="Z856" t="s">
        <v>74</v>
      </c>
      <c r="AA856" t="s">
        <v>74</v>
      </c>
      <c r="AB856" t="s">
        <v>74</v>
      </c>
      <c r="AC856" t="s">
        <v>74</v>
      </c>
      <c r="AD856" t="s">
        <v>74</v>
      </c>
      <c r="AE856" t="s">
        <v>74</v>
      </c>
      <c r="AF856" t="s">
        <v>74</v>
      </c>
      <c r="AG856">
        <v>1</v>
      </c>
      <c r="AH856">
        <v>3</v>
      </c>
      <c r="AI856">
        <v>3</v>
      </c>
      <c r="AJ856">
        <v>0</v>
      </c>
      <c r="AK856">
        <v>2</v>
      </c>
      <c r="AL856" t="s">
        <v>806</v>
      </c>
      <c r="AM856" t="s">
        <v>807</v>
      </c>
      <c r="AN856" t="s">
        <v>808</v>
      </c>
      <c r="AO856" t="s">
        <v>11749</v>
      </c>
      <c r="AP856" t="s">
        <v>74</v>
      </c>
      <c r="AQ856" t="s">
        <v>74</v>
      </c>
      <c r="AR856" t="s">
        <v>11750</v>
      </c>
      <c r="AS856" t="s">
        <v>11751</v>
      </c>
      <c r="AT856" t="s">
        <v>11370</v>
      </c>
      <c r="AU856">
        <v>2002</v>
      </c>
      <c r="AV856">
        <v>66</v>
      </c>
      <c r="AW856" t="s">
        <v>11752</v>
      </c>
      <c r="AX856" t="s">
        <v>74</v>
      </c>
      <c r="AY856">
        <v>1</v>
      </c>
      <c r="AZ856" t="s">
        <v>74</v>
      </c>
      <c r="BA856" t="s">
        <v>74</v>
      </c>
      <c r="BB856" t="s">
        <v>11796</v>
      </c>
      <c r="BC856" t="s">
        <v>11796</v>
      </c>
      <c r="BD856" t="s">
        <v>74</v>
      </c>
      <c r="BE856" t="s">
        <v>74</v>
      </c>
      <c r="BF856" t="s">
        <v>74</v>
      </c>
      <c r="BG856" t="s">
        <v>74</v>
      </c>
      <c r="BH856" t="s">
        <v>74</v>
      </c>
      <c r="BI856">
        <v>1</v>
      </c>
      <c r="BJ856" t="s">
        <v>2068</v>
      </c>
      <c r="BK856" t="s">
        <v>569</v>
      </c>
      <c r="BL856" t="s">
        <v>2068</v>
      </c>
      <c r="BM856" t="s">
        <v>11754</v>
      </c>
      <c r="BN856" t="s">
        <v>74</v>
      </c>
      <c r="BO856" t="s">
        <v>74</v>
      </c>
      <c r="BP856" t="s">
        <v>74</v>
      </c>
      <c r="BQ856" t="s">
        <v>74</v>
      </c>
      <c r="BR856" t="s">
        <v>98</v>
      </c>
      <c r="BS856" t="s">
        <v>11797</v>
      </c>
      <c r="BT856" t="str">
        <f>HYPERLINK("https%3A%2F%2Fwww.webofscience.com%2Fwos%2Fwoscc%2Ffull-record%2FWOS:000177423401065","View Full Record in Web of Science")</f>
        <v>View Full Record in Web of Science</v>
      </c>
    </row>
    <row r="857" spans="1:72" x14ac:dyDescent="0.15">
      <c r="A857" t="s">
        <v>552</v>
      </c>
      <c r="B857" t="s">
        <v>11798</v>
      </c>
      <c r="C857" t="s">
        <v>74</v>
      </c>
      <c r="D857" t="s">
        <v>74</v>
      </c>
      <c r="E857" t="s">
        <v>74</v>
      </c>
      <c r="F857" t="s">
        <v>11798</v>
      </c>
      <c r="G857" t="s">
        <v>74</v>
      </c>
      <c r="H857" t="s">
        <v>74</v>
      </c>
      <c r="I857" t="s">
        <v>11799</v>
      </c>
      <c r="J857" t="s">
        <v>11744</v>
      </c>
      <c r="K857" t="s">
        <v>74</v>
      </c>
      <c r="L857" t="s">
        <v>74</v>
      </c>
      <c r="M857" t="s">
        <v>78</v>
      </c>
      <c r="N857" t="s">
        <v>52</v>
      </c>
      <c r="O857" t="s">
        <v>74</v>
      </c>
      <c r="P857" t="s">
        <v>74</v>
      </c>
      <c r="Q857" t="s">
        <v>74</v>
      </c>
      <c r="R857" t="s">
        <v>74</v>
      </c>
      <c r="S857" t="s">
        <v>74</v>
      </c>
      <c r="T857" t="s">
        <v>74</v>
      </c>
      <c r="U857" t="s">
        <v>74</v>
      </c>
      <c r="V857" t="s">
        <v>74</v>
      </c>
      <c r="W857" t="s">
        <v>11800</v>
      </c>
      <c r="X857" t="s">
        <v>11801</v>
      </c>
      <c r="Y857" t="s">
        <v>74</v>
      </c>
      <c r="Z857" t="s">
        <v>74</v>
      </c>
      <c r="AA857" t="s">
        <v>74</v>
      </c>
      <c r="AB857" t="s">
        <v>74</v>
      </c>
      <c r="AC857" t="s">
        <v>74</v>
      </c>
      <c r="AD857" t="s">
        <v>74</v>
      </c>
      <c r="AE857" t="s">
        <v>74</v>
      </c>
      <c r="AF857" t="s">
        <v>74</v>
      </c>
      <c r="AG857">
        <v>3</v>
      </c>
      <c r="AH857">
        <v>1</v>
      </c>
      <c r="AI857">
        <v>1</v>
      </c>
      <c r="AJ857">
        <v>0</v>
      </c>
      <c r="AK857">
        <v>4</v>
      </c>
      <c r="AL857" t="s">
        <v>806</v>
      </c>
      <c r="AM857" t="s">
        <v>807</v>
      </c>
      <c r="AN857" t="s">
        <v>808</v>
      </c>
      <c r="AO857" t="s">
        <v>11749</v>
      </c>
      <c r="AP857" t="s">
        <v>74</v>
      </c>
      <c r="AQ857" t="s">
        <v>74</v>
      </c>
      <c r="AR857" t="s">
        <v>11750</v>
      </c>
      <c r="AS857" t="s">
        <v>11751</v>
      </c>
      <c r="AT857" t="s">
        <v>11370</v>
      </c>
      <c r="AU857">
        <v>2002</v>
      </c>
      <c r="AV857">
        <v>66</v>
      </c>
      <c r="AW857" t="s">
        <v>11752</v>
      </c>
      <c r="AX857" t="s">
        <v>74</v>
      </c>
      <c r="AY857">
        <v>1</v>
      </c>
      <c r="AZ857" t="s">
        <v>74</v>
      </c>
      <c r="BA857" t="s">
        <v>74</v>
      </c>
      <c r="BB857" t="s">
        <v>11802</v>
      </c>
      <c r="BC857" t="s">
        <v>11802</v>
      </c>
      <c r="BD857" t="s">
        <v>74</v>
      </c>
      <c r="BE857" t="s">
        <v>74</v>
      </c>
      <c r="BF857" t="s">
        <v>74</v>
      </c>
      <c r="BG857" t="s">
        <v>74</v>
      </c>
      <c r="BH857" t="s">
        <v>74</v>
      </c>
      <c r="BI857">
        <v>1</v>
      </c>
      <c r="BJ857" t="s">
        <v>2068</v>
      </c>
      <c r="BK857" t="s">
        <v>569</v>
      </c>
      <c r="BL857" t="s">
        <v>2068</v>
      </c>
      <c r="BM857" t="s">
        <v>11754</v>
      </c>
      <c r="BN857" t="s">
        <v>74</v>
      </c>
      <c r="BO857" t="s">
        <v>74</v>
      </c>
      <c r="BP857" t="s">
        <v>74</v>
      </c>
      <c r="BQ857" t="s">
        <v>74</v>
      </c>
      <c r="BR857" t="s">
        <v>98</v>
      </c>
      <c r="BS857" t="s">
        <v>11803</v>
      </c>
      <c r="BT857" t="str">
        <f>HYPERLINK("https%3A%2F%2Fwww.webofscience.com%2Fwos%2Fwoscc%2Ffull-record%2FWOS:000177423401459","View Full Record in Web of Science")</f>
        <v>View Full Record in Web of Science</v>
      </c>
    </row>
    <row r="858" spans="1:72" x14ac:dyDescent="0.15">
      <c r="A858" t="s">
        <v>552</v>
      </c>
      <c r="B858" t="s">
        <v>11804</v>
      </c>
      <c r="C858" t="s">
        <v>74</v>
      </c>
      <c r="D858" t="s">
        <v>74</v>
      </c>
      <c r="E858" t="s">
        <v>74</v>
      </c>
      <c r="F858" t="s">
        <v>11804</v>
      </c>
      <c r="G858" t="s">
        <v>74</v>
      </c>
      <c r="H858" t="s">
        <v>74</v>
      </c>
      <c r="I858" t="s">
        <v>11805</v>
      </c>
      <c r="J858" t="s">
        <v>10197</v>
      </c>
      <c r="K858" t="s">
        <v>74</v>
      </c>
      <c r="L858" t="s">
        <v>74</v>
      </c>
      <c r="M858" t="s">
        <v>78</v>
      </c>
      <c r="N858" t="s">
        <v>775</v>
      </c>
      <c r="O858" t="s">
        <v>74</v>
      </c>
      <c r="P858" t="s">
        <v>74</v>
      </c>
      <c r="Q858" t="s">
        <v>74</v>
      </c>
      <c r="R858" t="s">
        <v>74</v>
      </c>
      <c r="S858" t="s">
        <v>74</v>
      </c>
      <c r="T858" t="s">
        <v>11806</v>
      </c>
      <c r="U858" t="s">
        <v>11807</v>
      </c>
      <c r="V858" t="s">
        <v>11808</v>
      </c>
      <c r="W858" t="s">
        <v>11809</v>
      </c>
      <c r="X858" t="s">
        <v>11810</v>
      </c>
      <c r="Y858" t="s">
        <v>11811</v>
      </c>
      <c r="Z858" t="s">
        <v>74</v>
      </c>
      <c r="AA858" t="s">
        <v>11812</v>
      </c>
      <c r="AB858" t="s">
        <v>74</v>
      </c>
      <c r="AC858" t="s">
        <v>74</v>
      </c>
      <c r="AD858" t="s">
        <v>74</v>
      </c>
      <c r="AE858" t="s">
        <v>74</v>
      </c>
      <c r="AF858" t="s">
        <v>74</v>
      </c>
      <c r="AG858">
        <v>60</v>
      </c>
      <c r="AH858">
        <v>73</v>
      </c>
      <c r="AI858">
        <v>79</v>
      </c>
      <c r="AJ858">
        <v>0</v>
      </c>
      <c r="AK858">
        <v>4</v>
      </c>
      <c r="AL858" t="s">
        <v>11813</v>
      </c>
      <c r="AM858" t="s">
        <v>11814</v>
      </c>
      <c r="AN858" t="s">
        <v>11815</v>
      </c>
      <c r="AO858" t="s">
        <v>10201</v>
      </c>
      <c r="AP858" t="s">
        <v>74</v>
      </c>
      <c r="AQ858" t="s">
        <v>74</v>
      </c>
      <c r="AR858" t="s">
        <v>10202</v>
      </c>
      <c r="AS858" t="s">
        <v>10203</v>
      </c>
      <c r="AT858" t="s">
        <v>11370</v>
      </c>
      <c r="AU858">
        <v>2002</v>
      </c>
      <c r="AV858">
        <v>114</v>
      </c>
      <c r="AW858">
        <v>8</v>
      </c>
      <c r="AX858" t="s">
        <v>74</v>
      </c>
      <c r="AY858" t="s">
        <v>74</v>
      </c>
      <c r="AZ858" t="s">
        <v>74</v>
      </c>
      <c r="BA858" t="s">
        <v>74</v>
      </c>
      <c r="BB858">
        <v>1007</v>
      </c>
      <c r="BC858">
        <v>1018</v>
      </c>
      <c r="BD858" t="s">
        <v>74</v>
      </c>
      <c r="BE858" t="s">
        <v>11816</v>
      </c>
      <c r="BF858" t="str">
        <f>HYPERLINK("http://dx.doi.org/10.1130/0016-7606(2002)114&lt;1007:IOMDTC&gt;2.0.CO;2","http://dx.doi.org/10.1130/0016-7606(2002)114&lt;1007:IOMDTC&gt;2.0.CO;2")</f>
        <v>http://dx.doi.org/10.1130/0016-7606(2002)114&lt;1007:IOMDTC&gt;2.0.CO;2</v>
      </c>
      <c r="BG858" t="s">
        <v>74</v>
      </c>
      <c r="BH858" t="s">
        <v>74</v>
      </c>
      <c r="BI858">
        <v>12</v>
      </c>
      <c r="BJ858" t="s">
        <v>1813</v>
      </c>
      <c r="BK858" t="s">
        <v>569</v>
      </c>
      <c r="BL858" t="s">
        <v>1814</v>
      </c>
      <c r="BM858" t="s">
        <v>11817</v>
      </c>
      <c r="BN858" t="s">
        <v>74</v>
      </c>
      <c r="BO858" t="s">
        <v>74</v>
      </c>
      <c r="BP858" t="s">
        <v>74</v>
      </c>
      <c r="BQ858" t="s">
        <v>74</v>
      </c>
      <c r="BR858" t="s">
        <v>98</v>
      </c>
      <c r="BS858" t="s">
        <v>11818</v>
      </c>
      <c r="BT858" t="str">
        <f>HYPERLINK("https%3A%2F%2Fwww.webofscience.com%2Fwos%2Fwoscc%2Ffull-record%2FWOS:000177389400007","View Full Record in Web of Science")</f>
        <v>View Full Record in Web of Science</v>
      </c>
    </row>
    <row r="859" spans="1:72" x14ac:dyDescent="0.15">
      <c r="A859" t="s">
        <v>552</v>
      </c>
      <c r="B859" t="s">
        <v>11819</v>
      </c>
      <c r="C859" t="s">
        <v>74</v>
      </c>
      <c r="D859" t="s">
        <v>74</v>
      </c>
      <c r="E859" t="s">
        <v>74</v>
      </c>
      <c r="F859" t="s">
        <v>11819</v>
      </c>
      <c r="G859" t="s">
        <v>74</v>
      </c>
      <c r="H859" t="s">
        <v>74</v>
      </c>
      <c r="I859" t="s">
        <v>11820</v>
      </c>
      <c r="J859" t="s">
        <v>7512</v>
      </c>
      <c r="K859" t="s">
        <v>74</v>
      </c>
      <c r="L859" t="s">
        <v>74</v>
      </c>
      <c r="M859" t="s">
        <v>78</v>
      </c>
      <c r="N859" t="s">
        <v>775</v>
      </c>
      <c r="O859" t="s">
        <v>74</v>
      </c>
      <c r="P859" t="s">
        <v>74</v>
      </c>
      <c r="Q859" t="s">
        <v>74</v>
      </c>
      <c r="R859" t="s">
        <v>74</v>
      </c>
      <c r="S859" t="s">
        <v>74</v>
      </c>
      <c r="T859" t="s">
        <v>11821</v>
      </c>
      <c r="U859" t="s">
        <v>11822</v>
      </c>
      <c r="V859" t="s">
        <v>11823</v>
      </c>
      <c r="W859" t="s">
        <v>11824</v>
      </c>
      <c r="X859" t="s">
        <v>11825</v>
      </c>
      <c r="Y859" t="s">
        <v>11826</v>
      </c>
      <c r="Z859" t="s">
        <v>11827</v>
      </c>
      <c r="AA859" t="s">
        <v>74</v>
      </c>
      <c r="AB859" t="s">
        <v>11828</v>
      </c>
      <c r="AC859" t="s">
        <v>74</v>
      </c>
      <c r="AD859" t="s">
        <v>74</v>
      </c>
      <c r="AE859" t="s">
        <v>74</v>
      </c>
      <c r="AF859" t="s">
        <v>74</v>
      </c>
      <c r="AG859">
        <v>28</v>
      </c>
      <c r="AH859">
        <v>60</v>
      </c>
      <c r="AI859">
        <v>64</v>
      </c>
      <c r="AJ859">
        <v>1</v>
      </c>
      <c r="AK859">
        <v>12</v>
      </c>
      <c r="AL859" t="s">
        <v>7521</v>
      </c>
      <c r="AM859" t="s">
        <v>7142</v>
      </c>
      <c r="AN859" t="s">
        <v>7522</v>
      </c>
      <c r="AO859" t="s">
        <v>7523</v>
      </c>
      <c r="AP859" t="s">
        <v>7524</v>
      </c>
      <c r="AQ859" t="s">
        <v>74</v>
      </c>
      <c r="AR859" t="s">
        <v>7512</v>
      </c>
      <c r="AS859" t="s">
        <v>1814</v>
      </c>
      <c r="AT859" t="s">
        <v>11370</v>
      </c>
      <c r="AU859">
        <v>2002</v>
      </c>
      <c r="AV859">
        <v>30</v>
      </c>
      <c r="AW859">
        <v>8</v>
      </c>
      <c r="AX859" t="s">
        <v>74</v>
      </c>
      <c r="AY859" t="s">
        <v>74</v>
      </c>
      <c r="AZ859" t="s">
        <v>74</v>
      </c>
      <c r="BA859" t="s">
        <v>74</v>
      </c>
      <c r="BB859">
        <v>731</v>
      </c>
      <c r="BC859">
        <v>734</v>
      </c>
      <c r="BD859" t="s">
        <v>74</v>
      </c>
      <c r="BE859" t="s">
        <v>11829</v>
      </c>
      <c r="BF859" t="str">
        <f>HYPERLINK("http://dx.doi.org/10.1130/0091-7613(2002)030&lt;0731:RIBADO&gt;2.0.CO;2","http://dx.doi.org/10.1130/0091-7613(2002)030&lt;0731:RIBADO&gt;2.0.CO;2")</f>
        <v>http://dx.doi.org/10.1130/0091-7613(2002)030&lt;0731:RIBADO&gt;2.0.CO;2</v>
      </c>
      <c r="BG859" t="s">
        <v>74</v>
      </c>
      <c r="BH859" t="s">
        <v>74</v>
      </c>
      <c r="BI859">
        <v>4</v>
      </c>
      <c r="BJ859" t="s">
        <v>1814</v>
      </c>
      <c r="BK859" t="s">
        <v>569</v>
      </c>
      <c r="BL859" t="s">
        <v>1814</v>
      </c>
      <c r="BM859" t="s">
        <v>11830</v>
      </c>
      <c r="BN859" t="s">
        <v>74</v>
      </c>
      <c r="BO859" t="s">
        <v>590</v>
      </c>
      <c r="BP859" t="s">
        <v>74</v>
      </c>
      <c r="BQ859" t="s">
        <v>74</v>
      </c>
      <c r="BR859" t="s">
        <v>98</v>
      </c>
      <c r="BS859" t="s">
        <v>11831</v>
      </c>
      <c r="BT859" t="str">
        <f>HYPERLINK("https%3A%2F%2Fwww.webofscience.com%2Fwos%2Fwoscc%2Ffull-record%2FWOS:000177394000016","View Full Record in Web of Science")</f>
        <v>View Full Record in Web of Science</v>
      </c>
    </row>
    <row r="860" spans="1:72" x14ac:dyDescent="0.15">
      <c r="A860" t="s">
        <v>552</v>
      </c>
      <c r="B860" t="s">
        <v>11832</v>
      </c>
      <c r="C860" t="s">
        <v>74</v>
      </c>
      <c r="D860" t="s">
        <v>74</v>
      </c>
      <c r="E860" t="s">
        <v>74</v>
      </c>
      <c r="F860" t="s">
        <v>11832</v>
      </c>
      <c r="G860" t="s">
        <v>74</v>
      </c>
      <c r="H860" t="s">
        <v>74</v>
      </c>
      <c r="I860" t="s">
        <v>11833</v>
      </c>
      <c r="J860" t="s">
        <v>2280</v>
      </c>
      <c r="K860" t="s">
        <v>74</v>
      </c>
      <c r="L860" t="s">
        <v>74</v>
      </c>
      <c r="M860" t="s">
        <v>78</v>
      </c>
      <c r="N860" t="s">
        <v>775</v>
      </c>
      <c r="O860" t="s">
        <v>74</v>
      </c>
      <c r="P860" t="s">
        <v>74</v>
      </c>
      <c r="Q860" t="s">
        <v>74</v>
      </c>
      <c r="R860" t="s">
        <v>74</v>
      </c>
      <c r="S860" t="s">
        <v>74</v>
      </c>
      <c r="T860" t="s">
        <v>11834</v>
      </c>
      <c r="U860" t="s">
        <v>11835</v>
      </c>
      <c r="V860" t="s">
        <v>11836</v>
      </c>
      <c r="W860" t="s">
        <v>11837</v>
      </c>
      <c r="X860" t="s">
        <v>11838</v>
      </c>
      <c r="Y860" t="s">
        <v>11839</v>
      </c>
      <c r="Z860" t="s">
        <v>11840</v>
      </c>
      <c r="AA860" t="s">
        <v>74</v>
      </c>
      <c r="AB860" t="s">
        <v>74</v>
      </c>
      <c r="AC860" t="s">
        <v>74</v>
      </c>
      <c r="AD860" t="s">
        <v>74</v>
      </c>
      <c r="AE860" t="s">
        <v>74</v>
      </c>
      <c r="AF860" t="s">
        <v>74</v>
      </c>
      <c r="AG860">
        <v>59</v>
      </c>
      <c r="AH860">
        <v>56</v>
      </c>
      <c r="AI860">
        <v>63</v>
      </c>
      <c r="AJ860">
        <v>0</v>
      </c>
      <c r="AK860">
        <v>10</v>
      </c>
      <c r="AL860" t="s">
        <v>942</v>
      </c>
      <c r="AM860" t="s">
        <v>807</v>
      </c>
      <c r="AN860" t="s">
        <v>943</v>
      </c>
      <c r="AO860" t="s">
        <v>2288</v>
      </c>
      <c r="AP860" t="s">
        <v>2289</v>
      </c>
      <c r="AQ860" t="s">
        <v>74</v>
      </c>
      <c r="AR860" t="s">
        <v>2290</v>
      </c>
      <c r="AS860" t="s">
        <v>2291</v>
      </c>
      <c r="AT860" t="s">
        <v>11370</v>
      </c>
      <c r="AU860">
        <v>2002</v>
      </c>
      <c r="AV860">
        <v>150</v>
      </c>
      <c r="AW860">
        <v>2</v>
      </c>
      <c r="AX860" t="s">
        <v>74</v>
      </c>
      <c r="AY860" t="s">
        <v>74</v>
      </c>
      <c r="AZ860" t="s">
        <v>74</v>
      </c>
      <c r="BA860" t="s">
        <v>74</v>
      </c>
      <c r="BB860">
        <v>506</v>
      </c>
      <c r="BC860">
        <v>523</v>
      </c>
      <c r="BD860" t="s">
        <v>74</v>
      </c>
      <c r="BE860" t="s">
        <v>11841</v>
      </c>
      <c r="BF860" t="str">
        <f>HYPERLINK("http://dx.doi.org/10.1046/j.1365-246X.2002.01720.x","http://dx.doi.org/10.1046/j.1365-246X.2002.01720.x")</f>
        <v>http://dx.doi.org/10.1046/j.1365-246X.2002.01720.x</v>
      </c>
      <c r="BG860" t="s">
        <v>74</v>
      </c>
      <c r="BH860" t="s">
        <v>74</v>
      </c>
      <c r="BI860">
        <v>18</v>
      </c>
      <c r="BJ860" t="s">
        <v>2068</v>
      </c>
      <c r="BK860" t="s">
        <v>569</v>
      </c>
      <c r="BL860" t="s">
        <v>2068</v>
      </c>
      <c r="BM860" t="s">
        <v>11842</v>
      </c>
      <c r="BN860" t="s">
        <v>74</v>
      </c>
      <c r="BO860" t="s">
        <v>572</v>
      </c>
      <c r="BP860" t="s">
        <v>74</v>
      </c>
      <c r="BQ860" t="s">
        <v>74</v>
      </c>
      <c r="BR860" t="s">
        <v>98</v>
      </c>
      <c r="BS860" t="s">
        <v>11843</v>
      </c>
      <c r="BT860" t="str">
        <f>HYPERLINK("https%3A%2F%2Fwww.webofscience.com%2Fwos%2Fwoscc%2Ffull-record%2FWOS:000176921500012","View Full Record in Web of Science")</f>
        <v>View Full Record in Web of Science</v>
      </c>
    </row>
    <row r="861" spans="1:72" x14ac:dyDescent="0.15">
      <c r="A861" t="s">
        <v>552</v>
      </c>
      <c r="B861" t="s">
        <v>11844</v>
      </c>
      <c r="C861" t="s">
        <v>74</v>
      </c>
      <c r="D861" t="s">
        <v>74</v>
      </c>
      <c r="E861" t="s">
        <v>74</v>
      </c>
      <c r="F861" t="s">
        <v>11844</v>
      </c>
      <c r="G861" t="s">
        <v>74</v>
      </c>
      <c r="H861" t="s">
        <v>74</v>
      </c>
      <c r="I861" t="s">
        <v>11845</v>
      </c>
      <c r="J861" t="s">
        <v>5162</v>
      </c>
      <c r="K861" t="s">
        <v>74</v>
      </c>
      <c r="L861" t="s">
        <v>74</v>
      </c>
      <c r="M861" t="s">
        <v>78</v>
      </c>
      <c r="N861" t="s">
        <v>775</v>
      </c>
      <c r="O861" t="s">
        <v>74</v>
      </c>
      <c r="P861" t="s">
        <v>74</v>
      </c>
      <c r="Q861" t="s">
        <v>74</v>
      </c>
      <c r="R861" t="s">
        <v>74</v>
      </c>
      <c r="S861" t="s">
        <v>74</v>
      </c>
      <c r="T861" t="s">
        <v>74</v>
      </c>
      <c r="U861" t="s">
        <v>11846</v>
      </c>
      <c r="V861" t="s">
        <v>11847</v>
      </c>
      <c r="W861" t="s">
        <v>11848</v>
      </c>
      <c r="X861" t="s">
        <v>11849</v>
      </c>
      <c r="Y861" t="s">
        <v>11850</v>
      </c>
      <c r="Z861" t="s">
        <v>11851</v>
      </c>
      <c r="AA861" t="s">
        <v>2096</v>
      </c>
      <c r="AB861" t="s">
        <v>11852</v>
      </c>
      <c r="AC861" t="s">
        <v>74</v>
      </c>
      <c r="AD861" t="s">
        <v>74</v>
      </c>
      <c r="AE861" t="s">
        <v>74</v>
      </c>
      <c r="AF861" t="s">
        <v>74</v>
      </c>
      <c r="AG861">
        <v>16</v>
      </c>
      <c r="AH861">
        <v>6</v>
      </c>
      <c r="AI861">
        <v>6</v>
      </c>
      <c r="AJ861">
        <v>0</v>
      </c>
      <c r="AK861">
        <v>2</v>
      </c>
      <c r="AL861" t="s">
        <v>387</v>
      </c>
      <c r="AM861" t="s">
        <v>388</v>
      </c>
      <c r="AN861" t="s">
        <v>389</v>
      </c>
      <c r="AO861" t="s">
        <v>5169</v>
      </c>
      <c r="AP861" t="s">
        <v>5170</v>
      </c>
      <c r="AQ861" t="s">
        <v>74</v>
      </c>
      <c r="AR861" t="s">
        <v>5171</v>
      </c>
      <c r="AS861" t="s">
        <v>5172</v>
      </c>
      <c r="AT861" t="s">
        <v>11853</v>
      </c>
      <c r="AU861">
        <v>2002</v>
      </c>
      <c r="AV861">
        <v>29</v>
      </c>
      <c r="AW861">
        <v>15</v>
      </c>
      <c r="AX861" t="s">
        <v>74</v>
      </c>
      <c r="AY861" t="s">
        <v>74</v>
      </c>
      <c r="AZ861" t="s">
        <v>74</v>
      </c>
      <c r="BA861" t="s">
        <v>74</v>
      </c>
      <c r="BB861" t="s">
        <v>74</v>
      </c>
      <c r="BC861" t="s">
        <v>74</v>
      </c>
      <c r="BD861">
        <v>1723</v>
      </c>
      <c r="BE861" t="s">
        <v>11854</v>
      </c>
      <c r="BF861" t="str">
        <f>HYPERLINK("http://dx.doi.org/10.1029/2001GL013662","http://dx.doi.org/10.1029/2001GL013662")</f>
        <v>http://dx.doi.org/10.1029/2001GL013662</v>
      </c>
      <c r="BG861" t="s">
        <v>74</v>
      </c>
      <c r="BH861" t="s">
        <v>74</v>
      </c>
      <c r="BI861">
        <v>3</v>
      </c>
      <c r="BJ861" t="s">
        <v>1813</v>
      </c>
      <c r="BK861" t="s">
        <v>569</v>
      </c>
      <c r="BL861" t="s">
        <v>1814</v>
      </c>
      <c r="BM861" t="s">
        <v>11855</v>
      </c>
      <c r="BN861" t="s">
        <v>74</v>
      </c>
      <c r="BO861" t="s">
        <v>572</v>
      </c>
      <c r="BP861" t="s">
        <v>74</v>
      </c>
      <c r="BQ861" t="s">
        <v>74</v>
      </c>
      <c r="BR861" t="s">
        <v>98</v>
      </c>
      <c r="BS861" t="s">
        <v>11856</v>
      </c>
      <c r="BT861" t="str">
        <f>HYPERLINK("https%3A%2F%2Fwww.webofscience.com%2Fwos%2Fwoscc%2Ffull-record%2FWOS:000178964900030","View Full Record in Web of Science")</f>
        <v>View Full Record in Web of Science</v>
      </c>
    </row>
    <row r="862" spans="1:72" x14ac:dyDescent="0.15">
      <c r="A862" t="s">
        <v>552</v>
      </c>
      <c r="B862" t="s">
        <v>11857</v>
      </c>
      <c r="C862" t="s">
        <v>74</v>
      </c>
      <c r="D862" t="s">
        <v>74</v>
      </c>
      <c r="E862" t="s">
        <v>74</v>
      </c>
      <c r="F862" t="s">
        <v>11857</v>
      </c>
      <c r="G862" t="s">
        <v>74</v>
      </c>
      <c r="H862" t="s">
        <v>74</v>
      </c>
      <c r="I862" t="s">
        <v>11858</v>
      </c>
      <c r="J862" t="s">
        <v>11859</v>
      </c>
      <c r="K862" t="s">
        <v>74</v>
      </c>
      <c r="L862" t="s">
        <v>74</v>
      </c>
      <c r="M862" t="s">
        <v>78</v>
      </c>
      <c r="N862" t="s">
        <v>1987</v>
      </c>
      <c r="O862" t="s">
        <v>74</v>
      </c>
      <c r="P862" t="s">
        <v>74</v>
      </c>
      <c r="Q862" t="s">
        <v>74</v>
      </c>
      <c r="R862" t="s">
        <v>74</v>
      </c>
      <c r="S862" t="s">
        <v>74</v>
      </c>
      <c r="T862" t="s">
        <v>74</v>
      </c>
      <c r="U862" t="s">
        <v>74</v>
      </c>
      <c r="V862" t="s">
        <v>74</v>
      </c>
      <c r="W862" t="s">
        <v>11860</v>
      </c>
      <c r="X862" t="s">
        <v>471</v>
      </c>
      <c r="Y862" t="s">
        <v>11861</v>
      </c>
      <c r="Z862" t="s">
        <v>74</v>
      </c>
      <c r="AA862" t="s">
        <v>74</v>
      </c>
      <c r="AB862" t="s">
        <v>74</v>
      </c>
      <c r="AC862" t="s">
        <v>74</v>
      </c>
      <c r="AD862" t="s">
        <v>74</v>
      </c>
      <c r="AE862" t="s">
        <v>74</v>
      </c>
      <c r="AF862" t="s">
        <v>74</v>
      </c>
      <c r="AG862">
        <v>0</v>
      </c>
      <c r="AH862">
        <v>0</v>
      </c>
      <c r="AI862">
        <v>0</v>
      </c>
      <c r="AJ862">
        <v>0</v>
      </c>
      <c r="AK862">
        <v>0</v>
      </c>
      <c r="AL862" t="s">
        <v>11862</v>
      </c>
      <c r="AM862" t="s">
        <v>11863</v>
      </c>
      <c r="AN862" t="s">
        <v>11864</v>
      </c>
      <c r="AO862" t="s">
        <v>11865</v>
      </c>
      <c r="AP862" t="s">
        <v>74</v>
      </c>
      <c r="AQ862" t="s">
        <v>74</v>
      </c>
      <c r="AR862" t="s">
        <v>11859</v>
      </c>
      <c r="AS862" t="s">
        <v>11866</v>
      </c>
      <c r="AT862" t="s">
        <v>11370</v>
      </c>
      <c r="AU862">
        <v>2002</v>
      </c>
      <c r="AV862">
        <v>47</v>
      </c>
      <c r="AW862">
        <v>8</v>
      </c>
      <c r="AX862" t="s">
        <v>74</v>
      </c>
      <c r="AY862" t="s">
        <v>74</v>
      </c>
      <c r="AZ862" t="s">
        <v>74</v>
      </c>
      <c r="BA862" t="s">
        <v>74</v>
      </c>
      <c r="BB862">
        <v>4</v>
      </c>
      <c r="BC862">
        <v>4</v>
      </c>
      <c r="BD862" t="s">
        <v>74</v>
      </c>
      <c r="BE862" t="s">
        <v>74</v>
      </c>
      <c r="BF862" t="s">
        <v>74</v>
      </c>
      <c r="BG862" t="s">
        <v>74</v>
      </c>
      <c r="BH862" t="s">
        <v>74</v>
      </c>
      <c r="BI862">
        <v>1</v>
      </c>
      <c r="BJ862" t="s">
        <v>1813</v>
      </c>
      <c r="BK862" t="s">
        <v>569</v>
      </c>
      <c r="BL862" t="s">
        <v>1814</v>
      </c>
      <c r="BM862" t="s">
        <v>11867</v>
      </c>
      <c r="BN862" t="s">
        <v>74</v>
      </c>
      <c r="BO862" t="s">
        <v>74</v>
      </c>
      <c r="BP862" t="s">
        <v>74</v>
      </c>
      <c r="BQ862" t="s">
        <v>74</v>
      </c>
      <c r="BR862" t="s">
        <v>98</v>
      </c>
      <c r="BS862" t="s">
        <v>11868</v>
      </c>
      <c r="BT862" t="str">
        <f>HYPERLINK("https%3A%2F%2Fwww.webofscience.com%2Fwos%2Fwoscc%2Ffull-record%2FWOS:000177393900004","View Full Record in Web of Science")</f>
        <v>View Full Record in Web of Science</v>
      </c>
    </row>
    <row r="863" spans="1:72" x14ac:dyDescent="0.15">
      <c r="A863" t="s">
        <v>552</v>
      </c>
      <c r="B863" t="s">
        <v>11869</v>
      </c>
      <c r="C863" t="s">
        <v>74</v>
      </c>
      <c r="D863" t="s">
        <v>74</v>
      </c>
      <c r="E863" t="s">
        <v>74</v>
      </c>
      <c r="F863" t="s">
        <v>11869</v>
      </c>
      <c r="G863" t="s">
        <v>74</v>
      </c>
      <c r="H863" t="s">
        <v>74</v>
      </c>
      <c r="I863" t="s">
        <v>11870</v>
      </c>
      <c r="J863" t="s">
        <v>11859</v>
      </c>
      <c r="K863" t="s">
        <v>74</v>
      </c>
      <c r="L863" t="s">
        <v>74</v>
      </c>
      <c r="M863" t="s">
        <v>78</v>
      </c>
      <c r="N863" t="s">
        <v>6927</v>
      </c>
      <c r="O863" t="s">
        <v>74</v>
      </c>
      <c r="P863" t="s">
        <v>74</v>
      </c>
      <c r="Q863" t="s">
        <v>74</v>
      </c>
      <c r="R863" t="s">
        <v>74</v>
      </c>
      <c r="S863" t="s">
        <v>74</v>
      </c>
      <c r="T863" t="s">
        <v>74</v>
      </c>
      <c r="U863" t="s">
        <v>74</v>
      </c>
      <c r="V863" t="s">
        <v>74</v>
      </c>
      <c r="W863" t="s">
        <v>74</v>
      </c>
      <c r="X863" t="s">
        <v>74</v>
      </c>
      <c r="Y863" t="s">
        <v>74</v>
      </c>
      <c r="Z863" t="s">
        <v>74</v>
      </c>
      <c r="AA863" t="s">
        <v>74</v>
      </c>
      <c r="AB863" t="s">
        <v>74</v>
      </c>
      <c r="AC863" t="s">
        <v>74</v>
      </c>
      <c r="AD863" t="s">
        <v>74</v>
      </c>
      <c r="AE863" t="s">
        <v>74</v>
      </c>
      <c r="AF863" t="s">
        <v>74</v>
      </c>
      <c r="AG863">
        <v>0</v>
      </c>
      <c r="AH863">
        <v>0</v>
      </c>
      <c r="AI863">
        <v>0</v>
      </c>
      <c r="AJ863">
        <v>0</v>
      </c>
      <c r="AK863">
        <v>1</v>
      </c>
      <c r="AL863" t="s">
        <v>11862</v>
      </c>
      <c r="AM863" t="s">
        <v>11863</v>
      </c>
      <c r="AN863" t="s">
        <v>11864</v>
      </c>
      <c r="AO863" t="s">
        <v>11865</v>
      </c>
      <c r="AP863" t="s">
        <v>74</v>
      </c>
      <c r="AQ863" t="s">
        <v>74</v>
      </c>
      <c r="AR863" t="s">
        <v>11859</v>
      </c>
      <c r="AS863" t="s">
        <v>11866</v>
      </c>
      <c r="AT863" t="s">
        <v>11370</v>
      </c>
      <c r="AU863">
        <v>2002</v>
      </c>
      <c r="AV863">
        <v>47</v>
      </c>
      <c r="AW863">
        <v>8</v>
      </c>
      <c r="AX863" t="s">
        <v>74</v>
      </c>
      <c r="AY863" t="s">
        <v>74</v>
      </c>
      <c r="AZ863" t="s">
        <v>74</v>
      </c>
      <c r="BA863" t="s">
        <v>74</v>
      </c>
      <c r="BB863">
        <v>9</v>
      </c>
      <c r="BC863">
        <v>9</v>
      </c>
      <c r="BD863" t="s">
        <v>74</v>
      </c>
      <c r="BE863" t="s">
        <v>74</v>
      </c>
      <c r="BF863" t="s">
        <v>74</v>
      </c>
      <c r="BG863" t="s">
        <v>74</v>
      </c>
      <c r="BH863" t="s">
        <v>74</v>
      </c>
      <c r="BI863">
        <v>1</v>
      </c>
      <c r="BJ863" t="s">
        <v>1813</v>
      </c>
      <c r="BK863" t="s">
        <v>569</v>
      </c>
      <c r="BL863" t="s">
        <v>1814</v>
      </c>
      <c r="BM863" t="s">
        <v>11867</v>
      </c>
      <c r="BN863" t="s">
        <v>74</v>
      </c>
      <c r="BO863" t="s">
        <v>74</v>
      </c>
      <c r="BP863" t="s">
        <v>74</v>
      </c>
      <c r="BQ863" t="s">
        <v>74</v>
      </c>
      <c r="BR863" t="s">
        <v>98</v>
      </c>
      <c r="BS863" t="s">
        <v>11871</v>
      </c>
      <c r="BT863" t="str">
        <f>HYPERLINK("https%3A%2F%2Fwww.webofscience.com%2Fwos%2Fwoscc%2Ffull-record%2FWOS:000177393900009","View Full Record in Web of Science")</f>
        <v>View Full Record in Web of Science</v>
      </c>
    </row>
    <row r="864" spans="1:72" x14ac:dyDescent="0.15">
      <c r="A864" t="s">
        <v>552</v>
      </c>
      <c r="B864" t="s">
        <v>11872</v>
      </c>
      <c r="C864" t="s">
        <v>74</v>
      </c>
      <c r="D864" t="s">
        <v>74</v>
      </c>
      <c r="E864" t="s">
        <v>74</v>
      </c>
      <c r="F864" t="s">
        <v>11872</v>
      </c>
      <c r="G864" t="s">
        <v>74</v>
      </c>
      <c r="H864" t="s">
        <v>74</v>
      </c>
      <c r="I864" t="s">
        <v>11873</v>
      </c>
      <c r="J864" t="s">
        <v>11874</v>
      </c>
      <c r="K864" t="s">
        <v>74</v>
      </c>
      <c r="L864" t="s">
        <v>74</v>
      </c>
      <c r="M864" t="s">
        <v>78</v>
      </c>
      <c r="N864" t="s">
        <v>775</v>
      </c>
      <c r="O864" t="s">
        <v>74</v>
      </c>
      <c r="P864" t="s">
        <v>74</v>
      </c>
      <c r="Q864" t="s">
        <v>74</v>
      </c>
      <c r="R864" t="s">
        <v>74</v>
      </c>
      <c r="S864" t="s">
        <v>74</v>
      </c>
      <c r="T864" t="s">
        <v>11875</v>
      </c>
      <c r="U864" t="s">
        <v>11876</v>
      </c>
      <c r="V864" t="s">
        <v>11877</v>
      </c>
      <c r="W864" t="s">
        <v>11878</v>
      </c>
      <c r="X864" t="s">
        <v>11879</v>
      </c>
      <c r="Y864" t="s">
        <v>11880</v>
      </c>
      <c r="Z864" t="s">
        <v>11881</v>
      </c>
      <c r="AA864" t="s">
        <v>11882</v>
      </c>
      <c r="AB864" t="s">
        <v>11883</v>
      </c>
      <c r="AC864" t="s">
        <v>74</v>
      </c>
      <c r="AD864" t="s">
        <v>74</v>
      </c>
      <c r="AE864" t="s">
        <v>74</v>
      </c>
      <c r="AF864" t="s">
        <v>74</v>
      </c>
      <c r="AG864">
        <v>28</v>
      </c>
      <c r="AH864">
        <v>8</v>
      </c>
      <c r="AI864">
        <v>10</v>
      </c>
      <c r="AJ864">
        <v>0</v>
      </c>
      <c r="AK864">
        <v>6</v>
      </c>
      <c r="AL864" t="s">
        <v>1230</v>
      </c>
      <c r="AM864" t="s">
        <v>1210</v>
      </c>
      <c r="AN864" t="s">
        <v>1211</v>
      </c>
      <c r="AO864" t="s">
        <v>11884</v>
      </c>
      <c r="AP864" t="s">
        <v>11885</v>
      </c>
      <c r="AQ864" t="s">
        <v>74</v>
      </c>
      <c r="AR864" t="s">
        <v>11874</v>
      </c>
      <c r="AS864" t="s">
        <v>11886</v>
      </c>
      <c r="AT864" t="s">
        <v>11370</v>
      </c>
      <c r="AU864">
        <v>2002</v>
      </c>
      <c r="AV864">
        <v>481</v>
      </c>
      <c r="AW864" t="s">
        <v>5705</v>
      </c>
      <c r="AX864" t="s">
        <v>74</v>
      </c>
      <c r="AY864" t="s">
        <v>74</v>
      </c>
      <c r="AZ864" t="s">
        <v>74</v>
      </c>
      <c r="BA864" t="s">
        <v>74</v>
      </c>
      <c r="BB864">
        <v>1</v>
      </c>
      <c r="BC864">
        <v>18</v>
      </c>
      <c r="BD864" t="s">
        <v>74</v>
      </c>
      <c r="BE864" t="s">
        <v>11887</v>
      </c>
      <c r="BF864" t="str">
        <f>HYPERLINK("http://dx.doi.org/10.1023/A:1021210414160","http://dx.doi.org/10.1023/A:1021210414160")</f>
        <v>http://dx.doi.org/10.1023/A:1021210414160</v>
      </c>
      <c r="BG864" t="s">
        <v>74</v>
      </c>
      <c r="BH864" t="s">
        <v>74</v>
      </c>
      <c r="BI864">
        <v>18</v>
      </c>
      <c r="BJ864" t="s">
        <v>989</v>
      </c>
      <c r="BK864" t="s">
        <v>569</v>
      </c>
      <c r="BL864" t="s">
        <v>989</v>
      </c>
      <c r="BM864" t="s">
        <v>11888</v>
      </c>
      <c r="BN864" t="s">
        <v>74</v>
      </c>
      <c r="BO864" t="s">
        <v>74</v>
      </c>
      <c r="BP864" t="s">
        <v>74</v>
      </c>
      <c r="BQ864" t="s">
        <v>74</v>
      </c>
      <c r="BR864" t="s">
        <v>98</v>
      </c>
      <c r="BS864" t="s">
        <v>11889</v>
      </c>
      <c r="BT864" t="str">
        <f>HYPERLINK("https%3A%2F%2Fwww.webofscience.com%2Fwos%2Fwoscc%2Ffull-record%2FWOS:000179387400001","View Full Record in Web of Science")</f>
        <v>View Full Record in Web of Science</v>
      </c>
    </row>
    <row r="865" spans="1:72" x14ac:dyDescent="0.15">
      <c r="A865" t="s">
        <v>552</v>
      </c>
      <c r="B865" t="s">
        <v>11890</v>
      </c>
      <c r="C865" t="s">
        <v>74</v>
      </c>
      <c r="D865" t="s">
        <v>74</v>
      </c>
      <c r="E865" t="s">
        <v>74</v>
      </c>
      <c r="F865" t="s">
        <v>11890</v>
      </c>
      <c r="G865" t="s">
        <v>74</v>
      </c>
      <c r="H865" t="s">
        <v>74</v>
      </c>
      <c r="I865" t="s">
        <v>11891</v>
      </c>
      <c r="J865" t="s">
        <v>6170</v>
      </c>
      <c r="K865" t="s">
        <v>74</v>
      </c>
      <c r="L865" t="s">
        <v>74</v>
      </c>
      <c r="M865" t="s">
        <v>78</v>
      </c>
      <c r="N865" t="s">
        <v>775</v>
      </c>
      <c r="O865" t="s">
        <v>74</v>
      </c>
      <c r="P865" t="s">
        <v>74</v>
      </c>
      <c r="Q865" t="s">
        <v>74</v>
      </c>
      <c r="R865" t="s">
        <v>74</v>
      </c>
      <c r="S865" t="s">
        <v>74</v>
      </c>
      <c r="T865" t="s">
        <v>11892</v>
      </c>
      <c r="U865" t="s">
        <v>11893</v>
      </c>
      <c r="V865" t="s">
        <v>11894</v>
      </c>
      <c r="W865" t="s">
        <v>11895</v>
      </c>
      <c r="X865" t="s">
        <v>11896</v>
      </c>
      <c r="Y865" t="s">
        <v>11897</v>
      </c>
      <c r="Z865" t="s">
        <v>11898</v>
      </c>
      <c r="AA865" t="s">
        <v>11899</v>
      </c>
      <c r="AB865" t="s">
        <v>11900</v>
      </c>
      <c r="AC865" t="s">
        <v>74</v>
      </c>
      <c r="AD865" t="s">
        <v>74</v>
      </c>
      <c r="AE865" t="s">
        <v>74</v>
      </c>
      <c r="AF865" t="s">
        <v>74</v>
      </c>
      <c r="AG865">
        <v>65</v>
      </c>
      <c r="AH865">
        <v>39</v>
      </c>
      <c r="AI865">
        <v>42</v>
      </c>
      <c r="AJ865">
        <v>0</v>
      </c>
      <c r="AK865">
        <v>16</v>
      </c>
      <c r="AL865" t="s">
        <v>942</v>
      </c>
      <c r="AM865" t="s">
        <v>807</v>
      </c>
      <c r="AN865" t="s">
        <v>943</v>
      </c>
      <c r="AO865" t="s">
        <v>6175</v>
      </c>
      <c r="AP865" t="s">
        <v>11901</v>
      </c>
      <c r="AQ865" t="s">
        <v>74</v>
      </c>
      <c r="AR865" t="s">
        <v>6176</v>
      </c>
      <c r="AS865" t="s">
        <v>6177</v>
      </c>
      <c r="AT865" t="s">
        <v>11370</v>
      </c>
      <c r="AU865">
        <v>2002</v>
      </c>
      <c r="AV865">
        <v>59</v>
      </c>
      <c r="AW865">
        <v>4</v>
      </c>
      <c r="AX865" t="s">
        <v>74</v>
      </c>
      <c r="AY865" t="s">
        <v>74</v>
      </c>
      <c r="AZ865" t="s">
        <v>74</v>
      </c>
      <c r="BA865" t="s">
        <v>74</v>
      </c>
      <c r="BB865">
        <v>770</v>
      </c>
      <c r="BC865">
        <v>781</v>
      </c>
      <c r="BD865" t="s">
        <v>74</v>
      </c>
      <c r="BE865" t="s">
        <v>11902</v>
      </c>
      <c r="BF865" t="str">
        <f>HYPERLINK("http://dx.doi.org/10.1006/jmsc.2002.1246","http://dx.doi.org/10.1006/jmsc.2002.1246")</f>
        <v>http://dx.doi.org/10.1006/jmsc.2002.1246</v>
      </c>
      <c r="BG865" t="s">
        <v>74</v>
      </c>
      <c r="BH865" t="s">
        <v>74</v>
      </c>
      <c r="BI865">
        <v>12</v>
      </c>
      <c r="BJ865" t="s">
        <v>6179</v>
      </c>
      <c r="BK865" t="s">
        <v>569</v>
      </c>
      <c r="BL865" t="s">
        <v>6179</v>
      </c>
      <c r="BM865" t="s">
        <v>11903</v>
      </c>
      <c r="BN865" t="s">
        <v>74</v>
      </c>
      <c r="BO865" t="s">
        <v>572</v>
      </c>
      <c r="BP865" t="s">
        <v>74</v>
      </c>
      <c r="BQ865" t="s">
        <v>74</v>
      </c>
      <c r="BR865" t="s">
        <v>98</v>
      </c>
      <c r="BS865" t="s">
        <v>11904</v>
      </c>
      <c r="BT865" t="str">
        <f>HYPERLINK("https%3A%2F%2Fwww.webofscience.com%2Fwos%2Fwoscc%2Ffull-record%2FWOS:000178338300010","View Full Record in Web of Science")</f>
        <v>View Full Record in Web of Science</v>
      </c>
    </row>
    <row r="866" spans="1:72" x14ac:dyDescent="0.15">
      <c r="A866" t="s">
        <v>552</v>
      </c>
      <c r="B866" t="s">
        <v>11905</v>
      </c>
      <c r="C866" t="s">
        <v>74</v>
      </c>
      <c r="D866" t="s">
        <v>74</v>
      </c>
      <c r="E866" t="s">
        <v>74</v>
      </c>
      <c r="F866" t="s">
        <v>11905</v>
      </c>
      <c r="G866" t="s">
        <v>74</v>
      </c>
      <c r="H866" t="s">
        <v>74</v>
      </c>
      <c r="I866" t="s">
        <v>11906</v>
      </c>
      <c r="J866" t="s">
        <v>11907</v>
      </c>
      <c r="K866" t="s">
        <v>74</v>
      </c>
      <c r="L866" t="s">
        <v>74</v>
      </c>
      <c r="M866" t="s">
        <v>78</v>
      </c>
      <c r="N866" t="s">
        <v>775</v>
      </c>
      <c r="O866" t="s">
        <v>74</v>
      </c>
      <c r="P866" t="s">
        <v>74</v>
      </c>
      <c r="Q866" t="s">
        <v>74</v>
      </c>
      <c r="R866" t="s">
        <v>74</v>
      </c>
      <c r="S866" t="s">
        <v>74</v>
      </c>
      <c r="T866" t="s">
        <v>11908</v>
      </c>
      <c r="U866" t="s">
        <v>11909</v>
      </c>
      <c r="V866" t="s">
        <v>11910</v>
      </c>
      <c r="W866" t="s">
        <v>11911</v>
      </c>
      <c r="X866" t="s">
        <v>11912</v>
      </c>
      <c r="Y866" t="s">
        <v>11913</v>
      </c>
      <c r="Z866" t="s">
        <v>74</v>
      </c>
      <c r="AA866" t="s">
        <v>74</v>
      </c>
      <c r="AB866" t="s">
        <v>11914</v>
      </c>
      <c r="AC866" t="s">
        <v>74</v>
      </c>
      <c r="AD866" t="s">
        <v>74</v>
      </c>
      <c r="AE866" t="s">
        <v>74</v>
      </c>
      <c r="AF866" t="s">
        <v>74</v>
      </c>
      <c r="AG866">
        <v>32</v>
      </c>
      <c r="AH866">
        <v>12</v>
      </c>
      <c r="AI866">
        <v>15</v>
      </c>
      <c r="AJ866">
        <v>0</v>
      </c>
      <c r="AK866">
        <v>6</v>
      </c>
      <c r="AL866" t="s">
        <v>11915</v>
      </c>
      <c r="AM866" t="s">
        <v>11916</v>
      </c>
      <c r="AN866" t="s">
        <v>11917</v>
      </c>
      <c r="AO866" t="s">
        <v>11918</v>
      </c>
      <c r="AP866" t="s">
        <v>74</v>
      </c>
      <c r="AQ866" t="s">
        <v>74</v>
      </c>
      <c r="AR866" t="s">
        <v>11919</v>
      </c>
      <c r="AS866" t="s">
        <v>11920</v>
      </c>
      <c r="AT866" t="s">
        <v>11370</v>
      </c>
      <c r="AU866">
        <v>2002</v>
      </c>
      <c r="AV866">
        <v>80</v>
      </c>
      <c r="AW866">
        <v>4</v>
      </c>
      <c r="AX866" t="s">
        <v>74</v>
      </c>
      <c r="AY866" t="s">
        <v>74</v>
      </c>
      <c r="AZ866" t="s">
        <v>74</v>
      </c>
      <c r="BA866" t="s">
        <v>74</v>
      </c>
      <c r="BB866">
        <v>382</v>
      </c>
      <c r="BC866">
        <v>390</v>
      </c>
      <c r="BD866" t="s">
        <v>74</v>
      </c>
      <c r="BE866" t="s">
        <v>11921</v>
      </c>
      <c r="BF866" t="str">
        <f>HYPERLINK("http://dx.doi.org/10.1046/j.1440-1711.2002.01104.x","http://dx.doi.org/10.1046/j.1440-1711.2002.01104.x")</f>
        <v>http://dx.doi.org/10.1046/j.1440-1711.2002.01104.x</v>
      </c>
      <c r="BG866" t="s">
        <v>74</v>
      </c>
      <c r="BH866" t="s">
        <v>74</v>
      </c>
      <c r="BI866">
        <v>9</v>
      </c>
      <c r="BJ866" t="s">
        <v>11922</v>
      </c>
      <c r="BK866" t="s">
        <v>569</v>
      </c>
      <c r="BL866" t="s">
        <v>11922</v>
      </c>
      <c r="BM866" t="s">
        <v>11923</v>
      </c>
      <c r="BN866">
        <v>12121228</v>
      </c>
      <c r="BO866" t="s">
        <v>74</v>
      </c>
      <c r="BP866" t="s">
        <v>74</v>
      </c>
      <c r="BQ866" t="s">
        <v>74</v>
      </c>
      <c r="BR866" t="s">
        <v>98</v>
      </c>
      <c r="BS866" t="s">
        <v>11924</v>
      </c>
      <c r="BT866" t="str">
        <f>HYPERLINK("https%3A%2F%2Fwww.webofscience.com%2Fwos%2Fwoscc%2Ffull-record%2FWOS:000177091000011","View Full Record in Web of Science")</f>
        <v>View Full Record in Web of Science</v>
      </c>
    </row>
    <row r="867" spans="1:72" x14ac:dyDescent="0.15">
      <c r="A867" t="s">
        <v>552</v>
      </c>
      <c r="B867" t="s">
        <v>8977</v>
      </c>
      <c r="C867" t="s">
        <v>74</v>
      </c>
      <c r="D867" t="s">
        <v>74</v>
      </c>
      <c r="E867" t="s">
        <v>74</v>
      </c>
      <c r="F867" t="s">
        <v>8977</v>
      </c>
      <c r="G867" t="s">
        <v>74</v>
      </c>
      <c r="H867" t="s">
        <v>74</v>
      </c>
      <c r="I867" t="s">
        <v>11925</v>
      </c>
      <c r="J867" t="s">
        <v>8929</v>
      </c>
      <c r="K867" t="s">
        <v>74</v>
      </c>
      <c r="L867" t="s">
        <v>74</v>
      </c>
      <c r="M867" t="s">
        <v>78</v>
      </c>
      <c r="N867" t="s">
        <v>775</v>
      </c>
      <c r="O867" t="s">
        <v>74</v>
      </c>
      <c r="P867" t="s">
        <v>74</v>
      </c>
      <c r="Q867" t="s">
        <v>74</v>
      </c>
      <c r="R867" t="s">
        <v>74</v>
      </c>
      <c r="S867" t="s">
        <v>74</v>
      </c>
      <c r="T867" t="s">
        <v>11926</v>
      </c>
      <c r="U867" t="s">
        <v>11927</v>
      </c>
      <c r="V867" t="s">
        <v>11928</v>
      </c>
      <c r="W867" t="s">
        <v>11929</v>
      </c>
      <c r="X867" t="s">
        <v>11930</v>
      </c>
      <c r="Y867" t="s">
        <v>11931</v>
      </c>
      <c r="Z867" t="s">
        <v>74</v>
      </c>
      <c r="AA867" t="s">
        <v>11932</v>
      </c>
      <c r="AB867" t="s">
        <v>11933</v>
      </c>
      <c r="AC867" t="s">
        <v>74</v>
      </c>
      <c r="AD867" t="s">
        <v>74</v>
      </c>
      <c r="AE867" t="s">
        <v>74</v>
      </c>
      <c r="AF867" t="s">
        <v>74</v>
      </c>
      <c r="AG867">
        <v>34</v>
      </c>
      <c r="AH867">
        <v>50</v>
      </c>
      <c r="AI867">
        <v>50</v>
      </c>
      <c r="AJ867">
        <v>0</v>
      </c>
      <c r="AK867">
        <v>7</v>
      </c>
      <c r="AL867" t="s">
        <v>2990</v>
      </c>
      <c r="AM867" t="s">
        <v>2991</v>
      </c>
      <c r="AN867" t="s">
        <v>2992</v>
      </c>
      <c r="AO867" t="s">
        <v>8934</v>
      </c>
      <c r="AP867" t="s">
        <v>74</v>
      </c>
      <c r="AQ867" t="s">
        <v>74</v>
      </c>
      <c r="AR867" t="s">
        <v>8935</v>
      </c>
      <c r="AS867" t="s">
        <v>8936</v>
      </c>
      <c r="AT867" t="s">
        <v>11370</v>
      </c>
      <c r="AU867">
        <v>2002</v>
      </c>
      <c r="AV867">
        <v>22</v>
      </c>
      <c r="AW867">
        <v>10</v>
      </c>
      <c r="AX867" t="s">
        <v>74</v>
      </c>
      <c r="AY867" t="s">
        <v>74</v>
      </c>
      <c r="AZ867" t="s">
        <v>74</v>
      </c>
      <c r="BA867" t="s">
        <v>74</v>
      </c>
      <c r="BB867">
        <v>1197</v>
      </c>
      <c r="BC867">
        <v>1217</v>
      </c>
      <c r="BD867" t="s">
        <v>74</v>
      </c>
      <c r="BE867" t="s">
        <v>11934</v>
      </c>
      <c r="BF867" t="str">
        <f>HYPERLINK("http://dx.doi.org/10.1002/joc.798","http://dx.doi.org/10.1002/joc.798")</f>
        <v>http://dx.doi.org/10.1002/joc.798</v>
      </c>
      <c r="BG867" t="s">
        <v>74</v>
      </c>
      <c r="BH867" t="s">
        <v>74</v>
      </c>
      <c r="BI867">
        <v>21</v>
      </c>
      <c r="BJ867" t="s">
        <v>1237</v>
      </c>
      <c r="BK867" t="s">
        <v>569</v>
      </c>
      <c r="BL867" t="s">
        <v>1237</v>
      </c>
      <c r="BM867" t="s">
        <v>11935</v>
      </c>
      <c r="BN867" t="s">
        <v>74</v>
      </c>
      <c r="BO867" t="s">
        <v>572</v>
      </c>
      <c r="BP867" t="s">
        <v>74</v>
      </c>
      <c r="BQ867" t="s">
        <v>74</v>
      </c>
      <c r="BR867" t="s">
        <v>98</v>
      </c>
      <c r="BS867" t="s">
        <v>11936</v>
      </c>
      <c r="BT867" t="str">
        <f>HYPERLINK("https%3A%2F%2Fwww.webofscience.com%2Fwos%2Fwoscc%2Ffull-record%2FWOS:000177808800004","View Full Record in Web of Science")</f>
        <v>View Full Record in Web of Science</v>
      </c>
    </row>
    <row r="868" spans="1:72" x14ac:dyDescent="0.15">
      <c r="A868" t="s">
        <v>552</v>
      </c>
      <c r="B868" t="s">
        <v>11937</v>
      </c>
      <c r="C868" t="s">
        <v>74</v>
      </c>
      <c r="D868" t="s">
        <v>74</v>
      </c>
      <c r="E868" t="s">
        <v>74</v>
      </c>
      <c r="F868" t="s">
        <v>11937</v>
      </c>
      <c r="G868" t="s">
        <v>74</v>
      </c>
      <c r="H868" t="s">
        <v>74</v>
      </c>
      <c r="I868" t="s">
        <v>11938</v>
      </c>
      <c r="J868" t="s">
        <v>7627</v>
      </c>
      <c r="K868" t="s">
        <v>74</v>
      </c>
      <c r="L868" t="s">
        <v>74</v>
      </c>
      <c r="M868" t="s">
        <v>78</v>
      </c>
      <c r="N868" t="s">
        <v>775</v>
      </c>
      <c r="O868" t="s">
        <v>74</v>
      </c>
      <c r="P868" t="s">
        <v>74</v>
      </c>
      <c r="Q868" t="s">
        <v>74</v>
      </c>
      <c r="R868" t="s">
        <v>74</v>
      </c>
      <c r="S868" t="s">
        <v>74</v>
      </c>
      <c r="T868" t="s">
        <v>74</v>
      </c>
      <c r="U868" t="s">
        <v>11939</v>
      </c>
      <c r="V868" t="s">
        <v>11940</v>
      </c>
      <c r="W868" t="s">
        <v>11941</v>
      </c>
      <c r="X868" t="s">
        <v>10824</v>
      </c>
      <c r="Y868" t="s">
        <v>11942</v>
      </c>
      <c r="Z868" t="s">
        <v>74</v>
      </c>
      <c r="AA868" t="s">
        <v>74</v>
      </c>
      <c r="AB868" t="s">
        <v>74</v>
      </c>
      <c r="AC868" t="s">
        <v>74</v>
      </c>
      <c r="AD868" t="s">
        <v>74</v>
      </c>
      <c r="AE868" t="s">
        <v>74</v>
      </c>
      <c r="AF868" t="s">
        <v>74</v>
      </c>
      <c r="AG868">
        <v>39</v>
      </c>
      <c r="AH868">
        <v>1</v>
      </c>
      <c r="AI868">
        <v>1</v>
      </c>
      <c r="AJ868">
        <v>0</v>
      </c>
      <c r="AK868">
        <v>0</v>
      </c>
      <c r="AL868" t="s">
        <v>4012</v>
      </c>
      <c r="AM868" t="s">
        <v>561</v>
      </c>
      <c r="AN868" t="s">
        <v>4013</v>
      </c>
      <c r="AO868" t="s">
        <v>7632</v>
      </c>
      <c r="AP868" t="s">
        <v>11943</v>
      </c>
      <c r="AQ868" t="s">
        <v>74</v>
      </c>
      <c r="AR868" t="s">
        <v>7633</v>
      </c>
      <c r="AS868" t="s">
        <v>7634</v>
      </c>
      <c r="AT868" t="s">
        <v>11370</v>
      </c>
      <c r="AU868">
        <v>2002</v>
      </c>
      <c r="AV868">
        <v>38</v>
      </c>
      <c r="AW868">
        <v>8</v>
      </c>
      <c r="AX868" t="s">
        <v>74</v>
      </c>
      <c r="AY868" t="s">
        <v>74</v>
      </c>
      <c r="AZ868" t="s">
        <v>74</v>
      </c>
      <c r="BA868" t="s">
        <v>74</v>
      </c>
      <c r="BB868">
        <v>628</v>
      </c>
      <c r="BC868">
        <v>648</v>
      </c>
      <c r="BD868" t="s">
        <v>74</v>
      </c>
      <c r="BE868" t="s">
        <v>74</v>
      </c>
      <c r="BF868" t="s">
        <v>74</v>
      </c>
      <c r="BG868" t="s">
        <v>74</v>
      </c>
      <c r="BH868" t="s">
        <v>74</v>
      </c>
      <c r="BI868">
        <v>21</v>
      </c>
      <c r="BJ868" t="s">
        <v>2068</v>
      </c>
      <c r="BK868" t="s">
        <v>569</v>
      </c>
      <c r="BL868" t="s">
        <v>2068</v>
      </c>
      <c r="BM868" t="s">
        <v>11944</v>
      </c>
      <c r="BN868" t="s">
        <v>74</v>
      </c>
      <c r="BO868" t="s">
        <v>74</v>
      </c>
      <c r="BP868" t="s">
        <v>74</v>
      </c>
      <c r="BQ868" t="s">
        <v>74</v>
      </c>
      <c r="BR868" t="s">
        <v>98</v>
      </c>
      <c r="BS868" t="s">
        <v>11945</v>
      </c>
      <c r="BT868" t="str">
        <f>HYPERLINK("https%3A%2F%2Fwww.webofscience.com%2Fwos%2Fwoscc%2Ffull-record%2FWOS:000177711800002","View Full Record in Web of Science")</f>
        <v>View Full Record in Web of Science</v>
      </c>
    </row>
    <row r="869" spans="1:72" x14ac:dyDescent="0.15">
      <c r="A869" t="s">
        <v>552</v>
      </c>
      <c r="B869" t="s">
        <v>11946</v>
      </c>
      <c r="C869" t="s">
        <v>74</v>
      </c>
      <c r="D869" t="s">
        <v>74</v>
      </c>
      <c r="E869" t="s">
        <v>74</v>
      </c>
      <c r="F869" t="s">
        <v>11946</v>
      </c>
      <c r="G869" t="s">
        <v>74</v>
      </c>
      <c r="H869" t="s">
        <v>74</v>
      </c>
      <c r="I869" t="s">
        <v>11947</v>
      </c>
      <c r="J869" t="s">
        <v>6263</v>
      </c>
      <c r="K869" t="s">
        <v>74</v>
      </c>
      <c r="L869" t="s">
        <v>74</v>
      </c>
      <c r="M869" t="s">
        <v>78</v>
      </c>
      <c r="N869" t="s">
        <v>775</v>
      </c>
      <c r="O869" t="s">
        <v>74</v>
      </c>
      <c r="P869" t="s">
        <v>74</v>
      </c>
      <c r="Q869" t="s">
        <v>74</v>
      </c>
      <c r="R869" t="s">
        <v>74</v>
      </c>
      <c r="S869" t="s">
        <v>74</v>
      </c>
      <c r="T869" t="s">
        <v>11948</v>
      </c>
      <c r="U869" t="s">
        <v>11949</v>
      </c>
      <c r="V869" t="s">
        <v>11950</v>
      </c>
      <c r="W869" t="s">
        <v>11951</v>
      </c>
      <c r="X869" t="s">
        <v>11952</v>
      </c>
      <c r="Y869" t="s">
        <v>11953</v>
      </c>
      <c r="Z869" t="s">
        <v>11954</v>
      </c>
      <c r="AA869" t="s">
        <v>74</v>
      </c>
      <c r="AB869" t="s">
        <v>74</v>
      </c>
      <c r="AC869" t="s">
        <v>74</v>
      </c>
      <c r="AD869" t="s">
        <v>74</v>
      </c>
      <c r="AE869" t="s">
        <v>74</v>
      </c>
      <c r="AF869" t="s">
        <v>74</v>
      </c>
      <c r="AG869">
        <v>35</v>
      </c>
      <c r="AH869">
        <v>27</v>
      </c>
      <c r="AI869">
        <v>32</v>
      </c>
      <c r="AJ869">
        <v>2</v>
      </c>
      <c r="AK869">
        <v>22</v>
      </c>
      <c r="AL869" t="s">
        <v>1147</v>
      </c>
      <c r="AM869" t="s">
        <v>1148</v>
      </c>
      <c r="AN869" t="s">
        <v>1149</v>
      </c>
      <c r="AO869" t="s">
        <v>6270</v>
      </c>
      <c r="AP869" t="s">
        <v>11955</v>
      </c>
      <c r="AQ869" t="s">
        <v>74</v>
      </c>
      <c r="AR869" t="s">
        <v>6271</v>
      </c>
      <c r="AS869" t="s">
        <v>6272</v>
      </c>
      <c r="AT869" t="s">
        <v>11370</v>
      </c>
      <c r="AU869">
        <v>2002</v>
      </c>
      <c r="AV869">
        <v>29</v>
      </c>
      <c r="AW869">
        <v>8</v>
      </c>
      <c r="AX869" t="s">
        <v>74</v>
      </c>
      <c r="AY869" t="s">
        <v>74</v>
      </c>
      <c r="AZ869" t="s">
        <v>74</v>
      </c>
      <c r="BA869" t="s">
        <v>74</v>
      </c>
      <c r="BB869">
        <v>999</v>
      </c>
      <c r="BC869">
        <v>1008</v>
      </c>
      <c r="BD869" t="s">
        <v>74</v>
      </c>
      <c r="BE869" t="s">
        <v>11956</v>
      </c>
      <c r="BF869" t="str">
        <f>HYPERLINK("http://dx.doi.org/10.1046/j.1365-2699.2002.00745.x","http://dx.doi.org/10.1046/j.1365-2699.2002.00745.x")</f>
        <v>http://dx.doi.org/10.1046/j.1365-2699.2002.00745.x</v>
      </c>
      <c r="BG869" t="s">
        <v>74</v>
      </c>
      <c r="BH869" t="s">
        <v>74</v>
      </c>
      <c r="BI869">
        <v>10</v>
      </c>
      <c r="BJ869" t="s">
        <v>6274</v>
      </c>
      <c r="BK869" t="s">
        <v>569</v>
      </c>
      <c r="BL869" t="s">
        <v>6275</v>
      </c>
      <c r="BM869" t="s">
        <v>11957</v>
      </c>
      <c r="BN869" t="s">
        <v>74</v>
      </c>
      <c r="BO869" t="s">
        <v>74</v>
      </c>
      <c r="BP869" t="s">
        <v>74</v>
      </c>
      <c r="BQ869" t="s">
        <v>74</v>
      </c>
      <c r="BR869" t="s">
        <v>98</v>
      </c>
      <c r="BS869" t="s">
        <v>11958</v>
      </c>
      <c r="BT869" t="str">
        <f>HYPERLINK("https%3A%2F%2Fwww.webofscience.com%2Fwos%2Fwoscc%2Ffull-record%2FWOS:000177522300003","View Full Record in Web of Science")</f>
        <v>View Full Record in Web of Science</v>
      </c>
    </row>
    <row r="870" spans="1:72" x14ac:dyDescent="0.15">
      <c r="A870" t="s">
        <v>552</v>
      </c>
      <c r="B870" t="s">
        <v>11959</v>
      </c>
      <c r="C870" t="s">
        <v>74</v>
      </c>
      <c r="D870" t="s">
        <v>74</v>
      </c>
      <c r="E870" t="s">
        <v>74</v>
      </c>
      <c r="F870" t="s">
        <v>11959</v>
      </c>
      <c r="G870" t="s">
        <v>74</v>
      </c>
      <c r="H870" t="s">
        <v>74</v>
      </c>
      <c r="I870" t="s">
        <v>11960</v>
      </c>
      <c r="J870" t="s">
        <v>2644</v>
      </c>
      <c r="K870" t="s">
        <v>74</v>
      </c>
      <c r="L870" t="s">
        <v>74</v>
      </c>
      <c r="M870" t="s">
        <v>78</v>
      </c>
      <c r="N870" t="s">
        <v>775</v>
      </c>
      <c r="O870" t="s">
        <v>74</v>
      </c>
      <c r="P870" t="s">
        <v>74</v>
      </c>
      <c r="Q870" t="s">
        <v>74</v>
      </c>
      <c r="R870" t="s">
        <v>74</v>
      </c>
      <c r="S870" t="s">
        <v>74</v>
      </c>
      <c r="T870" t="s">
        <v>74</v>
      </c>
      <c r="U870" t="s">
        <v>11961</v>
      </c>
      <c r="V870" t="s">
        <v>11962</v>
      </c>
      <c r="W870" t="s">
        <v>11963</v>
      </c>
      <c r="X870" t="s">
        <v>11964</v>
      </c>
      <c r="Y870" t="s">
        <v>11965</v>
      </c>
      <c r="Z870" t="s">
        <v>11966</v>
      </c>
      <c r="AA870" t="s">
        <v>11967</v>
      </c>
      <c r="AB870" t="s">
        <v>11968</v>
      </c>
      <c r="AC870" t="s">
        <v>74</v>
      </c>
      <c r="AD870" t="s">
        <v>74</v>
      </c>
      <c r="AE870" t="s">
        <v>74</v>
      </c>
      <c r="AF870" t="s">
        <v>74</v>
      </c>
      <c r="AG870">
        <v>46</v>
      </c>
      <c r="AH870">
        <v>71</v>
      </c>
      <c r="AI870">
        <v>75</v>
      </c>
      <c r="AJ870">
        <v>0</v>
      </c>
      <c r="AK870">
        <v>10</v>
      </c>
      <c r="AL870" t="s">
        <v>2652</v>
      </c>
      <c r="AM870" t="s">
        <v>2653</v>
      </c>
      <c r="AN870" t="s">
        <v>2654</v>
      </c>
      <c r="AO870" t="s">
        <v>2655</v>
      </c>
      <c r="AP870" t="s">
        <v>2684</v>
      </c>
      <c r="AQ870" t="s">
        <v>74</v>
      </c>
      <c r="AR870" t="s">
        <v>2656</v>
      </c>
      <c r="AS870" t="s">
        <v>2657</v>
      </c>
      <c r="AT870" t="s">
        <v>11370</v>
      </c>
      <c r="AU870">
        <v>2002</v>
      </c>
      <c r="AV870">
        <v>15</v>
      </c>
      <c r="AW870">
        <v>15</v>
      </c>
      <c r="AX870" t="s">
        <v>74</v>
      </c>
      <c r="AY870" t="s">
        <v>74</v>
      </c>
      <c r="AZ870" t="s">
        <v>74</v>
      </c>
      <c r="BA870" t="s">
        <v>74</v>
      </c>
      <c r="BB870">
        <v>2020</v>
      </c>
      <c r="BC870">
        <v>2037</v>
      </c>
      <c r="BD870" t="s">
        <v>74</v>
      </c>
      <c r="BE870" t="s">
        <v>11969</v>
      </c>
      <c r="BF870" t="str">
        <f>HYPERLINK("http://dx.doi.org/10.1175/1520-0442(2002)015&lt;2020:AAOTST&gt;2.0.CO;2","http://dx.doi.org/10.1175/1520-0442(2002)015&lt;2020:AAOTST&gt;2.0.CO;2")</f>
        <v>http://dx.doi.org/10.1175/1520-0442(2002)015&lt;2020:AAOTST&gt;2.0.CO;2</v>
      </c>
      <c r="BG870" t="s">
        <v>74</v>
      </c>
      <c r="BH870" t="s">
        <v>74</v>
      </c>
      <c r="BI870">
        <v>18</v>
      </c>
      <c r="BJ870" t="s">
        <v>1237</v>
      </c>
      <c r="BK870" t="s">
        <v>569</v>
      </c>
      <c r="BL870" t="s">
        <v>1237</v>
      </c>
      <c r="BM870" t="s">
        <v>11970</v>
      </c>
      <c r="BN870" t="s">
        <v>74</v>
      </c>
      <c r="BO870" t="s">
        <v>572</v>
      </c>
      <c r="BP870" t="s">
        <v>74</v>
      </c>
      <c r="BQ870" t="s">
        <v>74</v>
      </c>
      <c r="BR870" t="s">
        <v>98</v>
      </c>
      <c r="BS870" t="s">
        <v>11971</v>
      </c>
      <c r="BT870" t="str">
        <f>HYPERLINK("https%3A%2F%2Fwww.webofscience.com%2Fwos%2Fwoscc%2Ffull-record%2FWOS:000177007200002","View Full Record in Web of Science")</f>
        <v>View Full Record in Web of Science</v>
      </c>
    </row>
    <row r="871" spans="1:72" x14ac:dyDescent="0.15">
      <c r="A871" t="s">
        <v>552</v>
      </c>
      <c r="B871" t="s">
        <v>11972</v>
      </c>
      <c r="C871" t="s">
        <v>74</v>
      </c>
      <c r="D871" t="s">
        <v>74</v>
      </c>
      <c r="E871" t="s">
        <v>74</v>
      </c>
      <c r="F871" t="s">
        <v>11972</v>
      </c>
      <c r="G871" t="s">
        <v>74</v>
      </c>
      <c r="H871" t="s">
        <v>74</v>
      </c>
      <c r="I871" t="s">
        <v>11973</v>
      </c>
      <c r="J871" t="s">
        <v>11974</v>
      </c>
      <c r="K871" t="s">
        <v>74</v>
      </c>
      <c r="L871" t="s">
        <v>74</v>
      </c>
      <c r="M871" t="s">
        <v>78</v>
      </c>
      <c r="N871" t="s">
        <v>775</v>
      </c>
      <c r="O871" t="s">
        <v>74</v>
      </c>
      <c r="P871" t="s">
        <v>74</v>
      </c>
      <c r="Q871" t="s">
        <v>74</v>
      </c>
      <c r="R871" t="s">
        <v>74</v>
      </c>
      <c r="S871" t="s">
        <v>74</v>
      </c>
      <c r="T871" t="s">
        <v>11975</v>
      </c>
      <c r="U871" t="s">
        <v>11976</v>
      </c>
      <c r="V871" t="s">
        <v>11977</v>
      </c>
      <c r="W871" t="s">
        <v>74</v>
      </c>
      <c r="X871" t="s">
        <v>74</v>
      </c>
      <c r="Y871" t="s">
        <v>74</v>
      </c>
      <c r="Z871" t="s">
        <v>74</v>
      </c>
      <c r="AA871" t="s">
        <v>74</v>
      </c>
      <c r="AB871" t="s">
        <v>74</v>
      </c>
      <c r="AC871" t="s">
        <v>74</v>
      </c>
      <c r="AD871" t="s">
        <v>74</v>
      </c>
      <c r="AE871" t="s">
        <v>74</v>
      </c>
      <c r="AF871" t="s">
        <v>74</v>
      </c>
      <c r="AG871">
        <v>27</v>
      </c>
      <c r="AH871">
        <v>32</v>
      </c>
      <c r="AI871">
        <v>44</v>
      </c>
      <c r="AJ871">
        <v>0</v>
      </c>
      <c r="AK871">
        <v>12</v>
      </c>
      <c r="AL871" t="s">
        <v>1259</v>
      </c>
      <c r="AM871" t="s">
        <v>561</v>
      </c>
      <c r="AN871" t="s">
        <v>1260</v>
      </c>
      <c r="AO871" t="s">
        <v>11978</v>
      </c>
      <c r="AP871" t="s">
        <v>74</v>
      </c>
      <c r="AQ871" t="s">
        <v>74</v>
      </c>
      <c r="AR871" t="s">
        <v>11979</v>
      </c>
      <c r="AS871" t="s">
        <v>11980</v>
      </c>
      <c r="AT871" t="s">
        <v>11370</v>
      </c>
      <c r="AU871">
        <v>2002</v>
      </c>
      <c r="AV871">
        <v>172</v>
      </c>
      <c r="AW871">
        <v>6</v>
      </c>
      <c r="AX871" t="s">
        <v>74</v>
      </c>
      <c r="AY871" t="s">
        <v>74</v>
      </c>
      <c r="AZ871" t="s">
        <v>74</v>
      </c>
      <c r="BA871" t="s">
        <v>74</v>
      </c>
      <c r="BB871">
        <v>547</v>
      </c>
      <c r="BC871">
        <v>552</v>
      </c>
      <c r="BD871" t="s">
        <v>74</v>
      </c>
      <c r="BE871" t="s">
        <v>11981</v>
      </c>
      <c r="BF871" t="str">
        <f>HYPERLINK("http://dx.doi.org/10.1007/s00360-002-0284-x","http://dx.doi.org/10.1007/s00360-002-0284-x")</f>
        <v>http://dx.doi.org/10.1007/s00360-002-0284-x</v>
      </c>
      <c r="BG871" t="s">
        <v>74</v>
      </c>
      <c r="BH871" t="s">
        <v>74</v>
      </c>
      <c r="BI871">
        <v>6</v>
      </c>
      <c r="BJ871" t="s">
        <v>4426</v>
      </c>
      <c r="BK871" t="s">
        <v>569</v>
      </c>
      <c r="BL871" t="s">
        <v>4426</v>
      </c>
      <c r="BM871" t="s">
        <v>11982</v>
      </c>
      <c r="BN871">
        <v>12192517</v>
      </c>
      <c r="BO871" t="s">
        <v>74</v>
      </c>
      <c r="BP871" t="s">
        <v>74</v>
      </c>
      <c r="BQ871" t="s">
        <v>74</v>
      </c>
      <c r="BR871" t="s">
        <v>98</v>
      </c>
      <c r="BS871" t="s">
        <v>11983</v>
      </c>
      <c r="BT871" t="str">
        <f>HYPERLINK("https%3A%2F%2Fwww.webofscience.com%2Fwos%2Fwoscc%2Ffull-record%2FWOS:000178254200011","View Full Record in Web of Science")</f>
        <v>View Full Record in Web of Science</v>
      </c>
    </row>
    <row r="872" spans="1:72" x14ac:dyDescent="0.15">
      <c r="A872" t="s">
        <v>552</v>
      </c>
      <c r="B872" t="s">
        <v>11984</v>
      </c>
      <c r="C872" t="s">
        <v>74</v>
      </c>
      <c r="D872" t="s">
        <v>74</v>
      </c>
      <c r="E872" t="s">
        <v>74</v>
      </c>
      <c r="F872" t="s">
        <v>11984</v>
      </c>
      <c r="G872" t="s">
        <v>74</v>
      </c>
      <c r="H872" t="s">
        <v>74</v>
      </c>
      <c r="I872" t="s">
        <v>11985</v>
      </c>
      <c r="J872" t="s">
        <v>11986</v>
      </c>
      <c r="K872" t="s">
        <v>74</v>
      </c>
      <c r="L872" t="s">
        <v>74</v>
      </c>
      <c r="M872" t="s">
        <v>78</v>
      </c>
      <c r="N872" t="s">
        <v>775</v>
      </c>
      <c r="O872" t="s">
        <v>74</v>
      </c>
      <c r="P872" t="s">
        <v>74</v>
      </c>
      <c r="Q872" t="s">
        <v>74</v>
      </c>
      <c r="R872" t="s">
        <v>74</v>
      </c>
      <c r="S872" t="s">
        <v>74</v>
      </c>
      <c r="T872" t="s">
        <v>11987</v>
      </c>
      <c r="U872" t="s">
        <v>11988</v>
      </c>
      <c r="V872" t="s">
        <v>11989</v>
      </c>
      <c r="W872" t="s">
        <v>11990</v>
      </c>
      <c r="X872" t="s">
        <v>11991</v>
      </c>
      <c r="Y872" t="s">
        <v>11992</v>
      </c>
      <c r="Z872" t="s">
        <v>74</v>
      </c>
      <c r="AA872" t="s">
        <v>11993</v>
      </c>
      <c r="AB872" t="s">
        <v>11994</v>
      </c>
      <c r="AC872" t="s">
        <v>74</v>
      </c>
      <c r="AD872" t="s">
        <v>74</v>
      </c>
      <c r="AE872" t="s">
        <v>74</v>
      </c>
      <c r="AF872" t="s">
        <v>74</v>
      </c>
      <c r="AG872">
        <v>44</v>
      </c>
      <c r="AH872">
        <v>54</v>
      </c>
      <c r="AI872">
        <v>58</v>
      </c>
      <c r="AJ872">
        <v>0</v>
      </c>
      <c r="AK872">
        <v>9</v>
      </c>
      <c r="AL872" t="s">
        <v>2581</v>
      </c>
      <c r="AM872" t="s">
        <v>807</v>
      </c>
      <c r="AN872" t="s">
        <v>2582</v>
      </c>
      <c r="AO872" t="s">
        <v>11995</v>
      </c>
      <c r="AP872" t="s">
        <v>74</v>
      </c>
      <c r="AQ872" t="s">
        <v>74</v>
      </c>
      <c r="AR872" t="s">
        <v>11996</v>
      </c>
      <c r="AS872" t="s">
        <v>11997</v>
      </c>
      <c r="AT872" t="s">
        <v>11370</v>
      </c>
      <c r="AU872">
        <v>2002</v>
      </c>
      <c r="AV872">
        <v>90</v>
      </c>
      <c r="AW872">
        <v>4</v>
      </c>
      <c r="AX872" t="s">
        <v>74</v>
      </c>
      <c r="AY872" t="s">
        <v>74</v>
      </c>
      <c r="AZ872" t="s">
        <v>74</v>
      </c>
      <c r="BA872" t="s">
        <v>74</v>
      </c>
      <c r="BB872">
        <v>704</v>
      </c>
      <c r="BC872">
        <v>713</v>
      </c>
      <c r="BD872" t="s">
        <v>74</v>
      </c>
      <c r="BE872" t="s">
        <v>11998</v>
      </c>
      <c r="BF872" t="str">
        <f>HYPERLINK("http://dx.doi.org/10.1046/j.1365-2745.2002.00709.x","http://dx.doi.org/10.1046/j.1365-2745.2002.00709.x")</f>
        <v>http://dx.doi.org/10.1046/j.1365-2745.2002.00709.x</v>
      </c>
      <c r="BG872" t="s">
        <v>74</v>
      </c>
      <c r="BH872" t="s">
        <v>74</v>
      </c>
      <c r="BI872">
        <v>10</v>
      </c>
      <c r="BJ872" t="s">
        <v>2137</v>
      </c>
      <c r="BK872" t="s">
        <v>569</v>
      </c>
      <c r="BL872" t="s">
        <v>2138</v>
      </c>
      <c r="BM872" t="s">
        <v>11999</v>
      </c>
      <c r="BN872" t="s">
        <v>74</v>
      </c>
      <c r="BO872" t="s">
        <v>3298</v>
      </c>
      <c r="BP872" t="s">
        <v>74</v>
      </c>
      <c r="BQ872" t="s">
        <v>74</v>
      </c>
      <c r="BR872" t="s">
        <v>98</v>
      </c>
      <c r="BS872" t="s">
        <v>12000</v>
      </c>
      <c r="BT872" t="str">
        <f>HYPERLINK("https%3A%2F%2Fwww.webofscience.com%2Fwos%2Fwoscc%2Ffull-record%2FWOS:000177368400012","View Full Record in Web of Science")</f>
        <v>View Full Record in Web of Science</v>
      </c>
    </row>
    <row r="873" spans="1:72" x14ac:dyDescent="0.15">
      <c r="A873" t="s">
        <v>552</v>
      </c>
      <c r="B873" t="s">
        <v>11543</v>
      </c>
      <c r="C873" t="s">
        <v>74</v>
      </c>
      <c r="D873" t="s">
        <v>74</v>
      </c>
      <c r="E873" t="s">
        <v>74</v>
      </c>
      <c r="F873" t="s">
        <v>11543</v>
      </c>
      <c r="G873" t="s">
        <v>74</v>
      </c>
      <c r="H873" t="s">
        <v>74</v>
      </c>
      <c r="I873" t="s">
        <v>12001</v>
      </c>
      <c r="J873" t="s">
        <v>2706</v>
      </c>
      <c r="K873" t="s">
        <v>74</v>
      </c>
      <c r="L873" t="s">
        <v>74</v>
      </c>
      <c r="M873" t="s">
        <v>78</v>
      </c>
      <c r="N873" t="s">
        <v>1114</v>
      </c>
      <c r="O873" t="s">
        <v>74</v>
      </c>
      <c r="P873" t="s">
        <v>74</v>
      </c>
      <c r="Q873" t="s">
        <v>74</v>
      </c>
      <c r="R873" t="s">
        <v>74</v>
      </c>
      <c r="S873" t="s">
        <v>74</v>
      </c>
      <c r="T873" t="s">
        <v>12002</v>
      </c>
      <c r="U873" t="s">
        <v>12003</v>
      </c>
      <c r="V873" t="s">
        <v>12004</v>
      </c>
      <c r="W873" t="s">
        <v>583</v>
      </c>
      <c r="X873" t="s">
        <v>584</v>
      </c>
      <c r="Y873" t="s">
        <v>74</v>
      </c>
      <c r="Z873" t="s">
        <v>7081</v>
      </c>
      <c r="AA873" t="s">
        <v>1307</v>
      </c>
      <c r="AB873" t="s">
        <v>12005</v>
      </c>
      <c r="AC873" t="s">
        <v>74</v>
      </c>
      <c r="AD873" t="s">
        <v>74</v>
      </c>
      <c r="AE873" t="s">
        <v>74</v>
      </c>
      <c r="AF873" t="s">
        <v>74</v>
      </c>
      <c r="AG873">
        <v>109</v>
      </c>
      <c r="AH873">
        <v>197</v>
      </c>
      <c r="AI873">
        <v>221</v>
      </c>
      <c r="AJ873">
        <v>1</v>
      </c>
      <c r="AK873">
        <v>100</v>
      </c>
      <c r="AL873" t="s">
        <v>2768</v>
      </c>
      <c r="AM873" t="s">
        <v>1168</v>
      </c>
      <c r="AN873" t="s">
        <v>2769</v>
      </c>
      <c r="AO873" t="s">
        <v>2717</v>
      </c>
      <c r="AP873" t="s">
        <v>2770</v>
      </c>
      <c r="AQ873" t="s">
        <v>74</v>
      </c>
      <c r="AR873" t="s">
        <v>2718</v>
      </c>
      <c r="AS873" t="s">
        <v>2719</v>
      </c>
      <c r="AT873" t="s">
        <v>11370</v>
      </c>
      <c r="AU873">
        <v>2002</v>
      </c>
      <c r="AV873">
        <v>205</v>
      </c>
      <c r="AW873">
        <v>15</v>
      </c>
      <c r="AX873" t="s">
        <v>74</v>
      </c>
      <c r="AY873" t="s">
        <v>74</v>
      </c>
      <c r="AZ873" t="s">
        <v>74</v>
      </c>
      <c r="BA873" t="s">
        <v>74</v>
      </c>
      <c r="BB873">
        <v>2217</v>
      </c>
      <c r="BC873">
        <v>2230</v>
      </c>
      <c r="BD873" t="s">
        <v>74</v>
      </c>
      <c r="BE873" t="s">
        <v>74</v>
      </c>
      <c r="BF873" t="s">
        <v>74</v>
      </c>
      <c r="BG873" t="s">
        <v>74</v>
      </c>
      <c r="BH873" t="s">
        <v>74</v>
      </c>
      <c r="BI873">
        <v>14</v>
      </c>
      <c r="BJ873" t="s">
        <v>948</v>
      </c>
      <c r="BK873" t="s">
        <v>569</v>
      </c>
      <c r="BL873" t="s">
        <v>949</v>
      </c>
      <c r="BM873" t="s">
        <v>12006</v>
      </c>
      <c r="BN873">
        <v>12110656</v>
      </c>
      <c r="BO873" t="s">
        <v>74</v>
      </c>
      <c r="BP873" t="s">
        <v>74</v>
      </c>
      <c r="BQ873" t="s">
        <v>74</v>
      </c>
      <c r="BR873" t="s">
        <v>98</v>
      </c>
      <c r="BS873" t="s">
        <v>12007</v>
      </c>
      <c r="BT873" t="str">
        <f>HYPERLINK("https%3A%2F%2Fwww.webofscience.com%2Fwos%2Fwoscc%2Ffull-record%2FWOS:000177612100010","View Full Record in Web of Science")</f>
        <v>View Full Record in Web of Science</v>
      </c>
    </row>
    <row r="874" spans="1:72" x14ac:dyDescent="0.15">
      <c r="A874" t="s">
        <v>552</v>
      </c>
      <c r="B874" t="s">
        <v>12008</v>
      </c>
      <c r="C874" t="s">
        <v>74</v>
      </c>
      <c r="D874" t="s">
        <v>74</v>
      </c>
      <c r="E874" t="s">
        <v>74</v>
      </c>
      <c r="F874" t="s">
        <v>12008</v>
      </c>
      <c r="G874" t="s">
        <v>74</v>
      </c>
      <c r="H874" t="s">
        <v>74</v>
      </c>
      <c r="I874" t="s">
        <v>12009</v>
      </c>
      <c r="J874" t="s">
        <v>5091</v>
      </c>
      <c r="K874" t="s">
        <v>74</v>
      </c>
      <c r="L874" t="s">
        <v>74</v>
      </c>
      <c r="M874" t="s">
        <v>78</v>
      </c>
      <c r="N874" t="s">
        <v>775</v>
      </c>
      <c r="O874" t="s">
        <v>74</v>
      </c>
      <c r="P874" t="s">
        <v>74</v>
      </c>
      <c r="Q874" t="s">
        <v>74</v>
      </c>
      <c r="R874" t="s">
        <v>74</v>
      </c>
      <c r="S874" t="s">
        <v>74</v>
      </c>
      <c r="T874" t="s">
        <v>12010</v>
      </c>
      <c r="U874" t="s">
        <v>12011</v>
      </c>
      <c r="V874" t="s">
        <v>12012</v>
      </c>
      <c r="W874" t="s">
        <v>12013</v>
      </c>
      <c r="X874" t="s">
        <v>12014</v>
      </c>
      <c r="Y874" t="s">
        <v>12015</v>
      </c>
      <c r="Z874" t="s">
        <v>12016</v>
      </c>
      <c r="AA874" t="s">
        <v>74</v>
      </c>
      <c r="AB874" t="s">
        <v>74</v>
      </c>
      <c r="AC874" t="s">
        <v>74</v>
      </c>
      <c r="AD874" t="s">
        <v>74</v>
      </c>
      <c r="AE874" t="s">
        <v>74</v>
      </c>
      <c r="AF874" t="s">
        <v>74</v>
      </c>
      <c r="AG874">
        <v>48</v>
      </c>
      <c r="AH874">
        <v>3</v>
      </c>
      <c r="AI874">
        <v>3</v>
      </c>
      <c r="AJ874">
        <v>0</v>
      </c>
      <c r="AK874">
        <v>1</v>
      </c>
      <c r="AL874" t="s">
        <v>387</v>
      </c>
      <c r="AM874" t="s">
        <v>388</v>
      </c>
      <c r="AN874" t="s">
        <v>389</v>
      </c>
      <c r="AO874" t="s">
        <v>5101</v>
      </c>
      <c r="AP874" t="s">
        <v>5188</v>
      </c>
      <c r="AQ874" t="s">
        <v>74</v>
      </c>
      <c r="AR874" t="s">
        <v>5102</v>
      </c>
      <c r="AS874" t="s">
        <v>5103</v>
      </c>
      <c r="AT874" t="s">
        <v>11370</v>
      </c>
      <c r="AU874">
        <v>2002</v>
      </c>
      <c r="AV874">
        <v>107</v>
      </c>
      <c r="AW874" t="s">
        <v>12017</v>
      </c>
      <c r="AX874" t="s">
        <v>74</v>
      </c>
      <c r="AY874" t="s">
        <v>74</v>
      </c>
      <c r="AZ874" t="s">
        <v>74</v>
      </c>
      <c r="BA874" t="s">
        <v>74</v>
      </c>
      <c r="BB874" t="s">
        <v>74</v>
      </c>
      <c r="BC874" t="s">
        <v>74</v>
      </c>
      <c r="BD874">
        <v>4253</v>
      </c>
      <c r="BE874" t="s">
        <v>12018</v>
      </c>
      <c r="BF874" t="str">
        <f>HYPERLINK("http://dx.doi.org/10.1029/2001JD001296","http://dx.doi.org/10.1029/2001JD001296")</f>
        <v>http://dx.doi.org/10.1029/2001JD001296</v>
      </c>
      <c r="BG874" t="s">
        <v>74</v>
      </c>
      <c r="BH874" t="s">
        <v>74</v>
      </c>
      <c r="BI874">
        <v>13</v>
      </c>
      <c r="BJ874" t="s">
        <v>1237</v>
      </c>
      <c r="BK874" t="s">
        <v>569</v>
      </c>
      <c r="BL874" t="s">
        <v>1237</v>
      </c>
      <c r="BM874" t="s">
        <v>12019</v>
      </c>
      <c r="BN874" t="s">
        <v>74</v>
      </c>
      <c r="BO874" t="s">
        <v>3220</v>
      </c>
      <c r="BP874" t="s">
        <v>74</v>
      </c>
      <c r="BQ874" t="s">
        <v>74</v>
      </c>
      <c r="BR874" t="s">
        <v>98</v>
      </c>
      <c r="BS874" t="s">
        <v>12020</v>
      </c>
      <c r="BT874" t="str">
        <f>HYPERLINK("https%3A%2F%2Fwww.webofscience.com%2Fwos%2Fwoscc%2Ffull-record%2FWOS:000178977400020","View Full Record in Web of Science")</f>
        <v>View Full Record in Web of Science</v>
      </c>
    </row>
    <row r="875" spans="1:72" x14ac:dyDescent="0.15">
      <c r="A875" t="s">
        <v>552</v>
      </c>
      <c r="B875" t="s">
        <v>12021</v>
      </c>
      <c r="C875" t="s">
        <v>74</v>
      </c>
      <c r="D875" t="s">
        <v>74</v>
      </c>
      <c r="E875" t="s">
        <v>74</v>
      </c>
      <c r="F875" t="s">
        <v>12021</v>
      </c>
      <c r="G875" t="s">
        <v>74</v>
      </c>
      <c r="H875" t="s">
        <v>74</v>
      </c>
      <c r="I875" t="s">
        <v>12022</v>
      </c>
      <c r="J875" t="s">
        <v>12023</v>
      </c>
      <c r="K875" t="s">
        <v>74</v>
      </c>
      <c r="L875" t="s">
        <v>74</v>
      </c>
      <c r="M875" t="s">
        <v>78</v>
      </c>
      <c r="N875" t="s">
        <v>775</v>
      </c>
      <c r="O875" t="s">
        <v>74</v>
      </c>
      <c r="P875" t="s">
        <v>74</v>
      </c>
      <c r="Q875" t="s">
        <v>74</v>
      </c>
      <c r="R875" t="s">
        <v>74</v>
      </c>
      <c r="S875" t="s">
        <v>74</v>
      </c>
      <c r="T875" t="s">
        <v>12024</v>
      </c>
      <c r="U875" t="s">
        <v>12025</v>
      </c>
      <c r="V875" t="s">
        <v>12026</v>
      </c>
      <c r="W875" t="s">
        <v>12027</v>
      </c>
      <c r="X875" t="s">
        <v>12028</v>
      </c>
      <c r="Y875" t="s">
        <v>12029</v>
      </c>
      <c r="Z875" t="s">
        <v>74</v>
      </c>
      <c r="AA875" t="s">
        <v>5935</v>
      </c>
      <c r="AB875" t="s">
        <v>12030</v>
      </c>
      <c r="AC875" t="s">
        <v>74</v>
      </c>
      <c r="AD875" t="s">
        <v>74</v>
      </c>
      <c r="AE875" t="s">
        <v>74</v>
      </c>
      <c r="AF875" t="s">
        <v>74</v>
      </c>
      <c r="AG875">
        <v>42</v>
      </c>
      <c r="AH875">
        <v>22</v>
      </c>
      <c r="AI875">
        <v>25</v>
      </c>
      <c r="AJ875">
        <v>0</v>
      </c>
      <c r="AK875">
        <v>11</v>
      </c>
      <c r="AL875" t="s">
        <v>1209</v>
      </c>
      <c r="AM875" t="s">
        <v>1210</v>
      </c>
      <c r="AN875" t="s">
        <v>1211</v>
      </c>
      <c r="AO875" t="s">
        <v>12031</v>
      </c>
      <c r="AP875" t="s">
        <v>74</v>
      </c>
      <c r="AQ875" t="s">
        <v>74</v>
      </c>
      <c r="AR875" t="s">
        <v>12032</v>
      </c>
      <c r="AS875" t="s">
        <v>12033</v>
      </c>
      <c r="AT875" t="s">
        <v>11370</v>
      </c>
      <c r="AU875">
        <v>2002</v>
      </c>
      <c r="AV875">
        <v>28</v>
      </c>
      <c r="AW875">
        <v>2</v>
      </c>
      <c r="AX875" t="s">
        <v>74</v>
      </c>
      <c r="AY875" t="s">
        <v>74</v>
      </c>
      <c r="AZ875" t="s">
        <v>74</v>
      </c>
      <c r="BA875" t="s">
        <v>74</v>
      </c>
      <c r="BB875">
        <v>253</v>
      </c>
      <c r="BC875">
        <v>267</v>
      </c>
      <c r="BD875" t="s">
        <v>74</v>
      </c>
      <c r="BE875" t="s">
        <v>12034</v>
      </c>
      <c r="BF875" t="str">
        <f>HYPERLINK("http://dx.doi.org/10.1023/A:1021661700899","http://dx.doi.org/10.1023/A:1021661700899")</f>
        <v>http://dx.doi.org/10.1023/A:1021661700899</v>
      </c>
      <c r="BG875" t="s">
        <v>74</v>
      </c>
      <c r="BH875" t="s">
        <v>74</v>
      </c>
      <c r="BI875">
        <v>15</v>
      </c>
      <c r="BJ875" t="s">
        <v>12035</v>
      </c>
      <c r="BK875" t="s">
        <v>569</v>
      </c>
      <c r="BL875" t="s">
        <v>12036</v>
      </c>
      <c r="BM875" t="s">
        <v>12037</v>
      </c>
      <c r="BN875" t="s">
        <v>74</v>
      </c>
      <c r="BO875" t="s">
        <v>74</v>
      </c>
      <c r="BP875" t="s">
        <v>74</v>
      </c>
      <c r="BQ875" t="s">
        <v>74</v>
      </c>
      <c r="BR875" t="s">
        <v>98</v>
      </c>
      <c r="BS875" t="s">
        <v>12038</v>
      </c>
      <c r="BT875" t="str">
        <f>HYPERLINK("https%3A%2F%2Fwww.webofscience.com%2Fwos%2Fwoscc%2Ffull-record%2FWOS:000179614800007","View Full Record in Web of Science")</f>
        <v>View Full Record in Web of Science</v>
      </c>
    </row>
    <row r="876" spans="1:72" x14ac:dyDescent="0.15">
      <c r="A876" t="s">
        <v>552</v>
      </c>
      <c r="B876" t="s">
        <v>12039</v>
      </c>
      <c r="C876" t="s">
        <v>74</v>
      </c>
      <c r="D876" t="s">
        <v>74</v>
      </c>
      <c r="E876" t="s">
        <v>74</v>
      </c>
      <c r="F876" t="s">
        <v>12039</v>
      </c>
      <c r="G876" t="s">
        <v>74</v>
      </c>
      <c r="H876" t="s">
        <v>74</v>
      </c>
      <c r="I876" t="s">
        <v>12040</v>
      </c>
      <c r="J876" t="s">
        <v>12041</v>
      </c>
      <c r="K876" t="s">
        <v>74</v>
      </c>
      <c r="L876" t="s">
        <v>74</v>
      </c>
      <c r="M876" t="s">
        <v>78</v>
      </c>
      <c r="N876" t="s">
        <v>775</v>
      </c>
      <c r="O876" t="s">
        <v>74</v>
      </c>
      <c r="P876" t="s">
        <v>74</v>
      </c>
      <c r="Q876" t="s">
        <v>74</v>
      </c>
      <c r="R876" t="s">
        <v>74</v>
      </c>
      <c r="S876" t="s">
        <v>74</v>
      </c>
      <c r="T876" t="s">
        <v>12042</v>
      </c>
      <c r="U876" t="s">
        <v>12043</v>
      </c>
      <c r="V876" t="s">
        <v>12044</v>
      </c>
      <c r="W876" t="s">
        <v>12045</v>
      </c>
      <c r="X876" t="s">
        <v>12046</v>
      </c>
      <c r="Y876" t="s">
        <v>12047</v>
      </c>
      <c r="Z876" t="s">
        <v>12048</v>
      </c>
      <c r="AA876" t="s">
        <v>12049</v>
      </c>
      <c r="AB876" t="s">
        <v>12050</v>
      </c>
      <c r="AC876" t="s">
        <v>74</v>
      </c>
      <c r="AD876" t="s">
        <v>74</v>
      </c>
      <c r="AE876" t="s">
        <v>74</v>
      </c>
      <c r="AF876" t="s">
        <v>74</v>
      </c>
      <c r="AG876">
        <v>85</v>
      </c>
      <c r="AH876">
        <v>178</v>
      </c>
      <c r="AI876">
        <v>203</v>
      </c>
      <c r="AJ876">
        <v>1</v>
      </c>
      <c r="AK876">
        <v>22</v>
      </c>
      <c r="AL876" t="s">
        <v>942</v>
      </c>
      <c r="AM876" t="s">
        <v>807</v>
      </c>
      <c r="AN876" t="s">
        <v>943</v>
      </c>
      <c r="AO876" t="s">
        <v>12051</v>
      </c>
      <c r="AP876" t="s">
        <v>12052</v>
      </c>
      <c r="AQ876" t="s">
        <v>74</v>
      </c>
      <c r="AR876" t="s">
        <v>12053</v>
      </c>
      <c r="AS876" t="s">
        <v>12054</v>
      </c>
      <c r="AT876" t="s">
        <v>11370</v>
      </c>
      <c r="AU876">
        <v>2002</v>
      </c>
      <c r="AV876">
        <v>43</v>
      </c>
      <c r="AW876">
        <v>8</v>
      </c>
      <c r="AX876" t="s">
        <v>74</v>
      </c>
      <c r="AY876" t="s">
        <v>74</v>
      </c>
      <c r="AZ876" t="s">
        <v>74</v>
      </c>
      <c r="BA876" t="s">
        <v>74</v>
      </c>
      <c r="BB876">
        <v>1435</v>
      </c>
      <c r="BC876">
        <v>1467</v>
      </c>
      <c r="BD876" t="s">
        <v>74</v>
      </c>
      <c r="BE876" t="s">
        <v>12055</v>
      </c>
      <c r="BF876" t="str">
        <f>HYPERLINK("http://dx.doi.org/10.1093/petrology/43.8.1435","http://dx.doi.org/10.1093/petrology/43.8.1435")</f>
        <v>http://dx.doi.org/10.1093/petrology/43.8.1435</v>
      </c>
      <c r="BG876" t="s">
        <v>74</v>
      </c>
      <c r="BH876" t="s">
        <v>74</v>
      </c>
      <c r="BI876">
        <v>33</v>
      </c>
      <c r="BJ876" t="s">
        <v>2068</v>
      </c>
      <c r="BK876" t="s">
        <v>569</v>
      </c>
      <c r="BL876" t="s">
        <v>2068</v>
      </c>
      <c r="BM876" t="s">
        <v>12056</v>
      </c>
      <c r="BN876" t="s">
        <v>74</v>
      </c>
      <c r="BO876" t="s">
        <v>572</v>
      </c>
      <c r="BP876" t="s">
        <v>74</v>
      </c>
      <c r="BQ876" t="s">
        <v>74</v>
      </c>
      <c r="BR876" t="s">
        <v>98</v>
      </c>
      <c r="BS876" t="s">
        <v>12057</v>
      </c>
      <c r="BT876" t="str">
        <f>HYPERLINK("https%3A%2F%2Fwww.webofscience.com%2Fwos%2Fwoscc%2Ffull-record%2FWOS:000177226600002","View Full Record in Web of Science")</f>
        <v>View Full Record in Web of Science</v>
      </c>
    </row>
    <row r="877" spans="1:72" x14ac:dyDescent="0.15">
      <c r="A877" t="s">
        <v>552</v>
      </c>
      <c r="B877" t="s">
        <v>12058</v>
      </c>
      <c r="C877" t="s">
        <v>74</v>
      </c>
      <c r="D877" t="s">
        <v>74</v>
      </c>
      <c r="E877" t="s">
        <v>74</v>
      </c>
      <c r="F877" t="s">
        <v>12058</v>
      </c>
      <c r="G877" t="s">
        <v>74</v>
      </c>
      <c r="H877" t="s">
        <v>74</v>
      </c>
      <c r="I877" t="s">
        <v>12059</v>
      </c>
      <c r="J877" t="s">
        <v>12060</v>
      </c>
      <c r="K877" t="s">
        <v>74</v>
      </c>
      <c r="L877" t="s">
        <v>74</v>
      </c>
      <c r="M877" t="s">
        <v>78</v>
      </c>
      <c r="N877" t="s">
        <v>775</v>
      </c>
      <c r="O877" t="s">
        <v>74</v>
      </c>
      <c r="P877" t="s">
        <v>74</v>
      </c>
      <c r="Q877" t="s">
        <v>74</v>
      </c>
      <c r="R877" t="s">
        <v>74</v>
      </c>
      <c r="S877" t="s">
        <v>74</v>
      </c>
      <c r="T877" t="s">
        <v>12061</v>
      </c>
      <c r="U877" t="s">
        <v>12062</v>
      </c>
      <c r="V877" t="s">
        <v>12063</v>
      </c>
      <c r="W877" t="s">
        <v>12064</v>
      </c>
      <c r="X877" t="s">
        <v>12065</v>
      </c>
      <c r="Y877" t="s">
        <v>8983</v>
      </c>
      <c r="Z877" t="s">
        <v>12066</v>
      </c>
      <c r="AA877" t="s">
        <v>4480</v>
      </c>
      <c r="AB877" t="s">
        <v>4481</v>
      </c>
      <c r="AC877" t="s">
        <v>74</v>
      </c>
      <c r="AD877" t="s">
        <v>74</v>
      </c>
      <c r="AE877" t="s">
        <v>74</v>
      </c>
      <c r="AF877" t="s">
        <v>74</v>
      </c>
      <c r="AG877">
        <v>45</v>
      </c>
      <c r="AH877">
        <v>35</v>
      </c>
      <c r="AI877">
        <v>38</v>
      </c>
      <c r="AJ877">
        <v>1</v>
      </c>
      <c r="AK877">
        <v>17</v>
      </c>
      <c r="AL877" t="s">
        <v>12067</v>
      </c>
      <c r="AM877" t="s">
        <v>12068</v>
      </c>
      <c r="AN877" t="s">
        <v>12069</v>
      </c>
      <c r="AO877" t="s">
        <v>12070</v>
      </c>
      <c r="AP877" t="s">
        <v>74</v>
      </c>
      <c r="AQ877" t="s">
        <v>74</v>
      </c>
      <c r="AR877" t="s">
        <v>12071</v>
      </c>
      <c r="AS877" t="s">
        <v>12072</v>
      </c>
      <c r="AT877" t="s">
        <v>11370</v>
      </c>
      <c r="AU877">
        <v>2002</v>
      </c>
      <c r="AV877">
        <v>68</v>
      </c>
      <c r="AW877">
        <v>1</v>
      </c>
      <c r="AX877" t="s">
        <v>74</v>
      </c>
      <c r="AY877" t="s">
        <v>74</v>
      </c>
      <c r="AZ877" t="s">
        <v>74</v>
      </c>
      <c r="BA877" t="s">
        <v>74</v>
      </c>
      <c r="BB877">
        <v>23</v>
      </c>
      <c r="BC877">
        <v>32</v>
      </c>
      <c r="BD877" t="s">
        <v>12073</v>
      </c>
      <c r="BE877" t="s">
        <v>12074</v>
      </c>
      <c r="BF877" t="str">
        <f>HYPERLINK("http://dx.doi.org/10.1016/S1011-1344(02)00327-5","http://dx.doi.org/10.1016/S1011-1344(02)00327-5")</f>
        <v>http://dx.doi.org/10.1016/S1011-1344(02)00327-5</v>
      </c>
      <c r="BG877" t="s">
        <v>74</v>
      </c>
      <c r="BH877" t="s">
        <v>74</v>
      </c>
      <c r="BI877">
        <v>10</v>
      </c>
      <c r="BJ877" t="s">
        <v>4330</v>
      </c>
      <c r="BK877" t="s">
        <v>569</v>
      </c>
      <c r="BL877" t="s">
        <v>4330</v>
      </c>
      <c r="BM877" t="s">
        <v>12075</v>
      </c>
      <c r="BN877">
        <v>12208033</v>
      </c>
      <c r="BO877" t="s">
        <v>74</v>
      </c>
      <c r="BP877" t="s">
        <v>74</v>
      </c>
      <c r="BQ877" t="s">
        <v>74</v>
      </c>
      <c r="BR877" t="s">
        <v>98</v>
      </c>
      <c r="BS877" t="s">
        <v>12076</v>
      </c>
      <c r="BT877" t="str">
        <f>HYPERLINK("https%3A%2F%2Fwww.webofscience.com%2Fwos%2Fwoscc%2Ffull-record%2FWOS:000178293000004","View Full Record in Web of Science")</f>
        <v>View Full Record in Web of Science</v>
      </c>
    </row>
    <row r="878" spans="1:72" x14ac:dyDescent="0.15">
      <c r="A878" t="s">
        <v>552</v>
      </c>
      <c r="B878" t="s">
        <v>12077</v>
      </c>
      <c r="C878" t="s">
        <v>74</v>
      </c>
      <c r="D878" t="s">
        <v>74</v>
      </c>
      <c r="E878" t="s">
        <v>74</v>
      </c>
      <c r="F878" t="s">
        <v>12077</v>
      </c>
      <c r="G878" t="s">
        <v>74</v>
      </c>
      <c r="H878" t="s">
        <v>74</v>
      </c>
      <c r="I878" t="s">
        <v>12078</v>
      </c>
      <c r="J878" t="s">
        <v>6324</v>
      </c>
      <c r="K878" t="s">
        <v>74</v>
      </c>
      <c r="L878" t="s">
        <v>74</v>
      </c>
      <c r="M878" t="s">
        <v>78</v>
      </c>
      <c r="N878" t="s">
        <v>775</v>
      </c>
      <c r="O878" t="s">
        <v>74</v>
      </c>
      <c r="P878" t="s">
        <v>74</v>
      </c>
      <c r="Q878" t="s">
        <v>74</v>
      </c>
      <c r="R878" t="s">
        <v>74</v>
      </c>
      <c r="S878" t="s">
        <v>74</v>
      </c>
      <c r="T878" t="s">
        <v>74</v>
      </c>
      <c r="U878" t="s">
        <v>12079</v>
      </c>
      <c r="V878" t="s">
        <v>12080</v>
      </c>
      <c r="W878" t="s">
        <v>12081</v>
      </c>
      <c r="X878" t="s">
        <v>74</v>
      </c>
      <c r="Y878" t="s">
        <v>12082</v>
      </c>
      <c r="Z878" t="s">
        <v>74</v>
      </c>
      <c r="AA878" t="s">
        <v>74</v>
      </c>
      <c r="AB878" t="s">
        <v>74</v>
      </c>
      <c r="AC878" t="s">
        <v>74</v>
      </c>
      <c r="AD878" t="s">
        <v>74</v>
      </c>
      <c r="AE878" t="s">
        <v>74</v>
      </c>
      <c r="AF878" t="s">
        <v>74</v>
      </c>
      <c r="AG878">
        <v>86</v>
      </c>
      <c r="AH878">
        <v>24</v>
      </c>
      <c r="AI878">
        <v>26</v>
      </c>
      <c r="AJ878">
        <v>0</v>
      </c>
      <c r="AK878">
        <v>9</v>
      </c>
      <c r="AL878" t="s">
        <v>2652</v>
      </c>
      <c r="AM878" t="s">
        <v>2653</v>
      </c>
      <c r="AN878" t="s">
        <v>2654</v>
      </c>
      <c r="AO878" t="s">
        <v>6332</v>
      </c>
      <c r="AP878" t="s">
        <v>74</v>
      </c>
      <c r="AQ878" t="s">
        <v>74</v>
      </c>
      <c r="AR878" t="s">
        <v>6334</v>
      </c>
      <c r="AS878" t="s">
        <v>6335</v>
      </c>
      <c r="AT878" t="s">
        <v>11370</v>
      </c>
      <c r="AU878">
        <v>2002</v>
      </c>
      <c r="AV878">
        <v>32</v>
      </c>
      <c r="AW878">
        <v>8</v>
      </c>
      <c r="AX878" t="s">
        <v>74</v>
      </c>
      <c r="AY878" t="s">
        <v>74</v>
      </c>
      <c r="AZ878" t="s">
        <v>74</v>
      </c>
      <c r="BA878" t="s">
        <v>74</v>
      </c>
      <c r="BB878">
        <v>2205</v>
      </c>
      <c r="BC878">
        <v>2235</v>
      </c>
      <c r="BD878" t="s">
        <v>74</v>
      </c>
      <c r="BE878" t="s">
        <v>12083</v>
      </c>
      <c r="BF878" t="str">
        <f>HYPERLINK("http://dx.doi.org/10.1175/1520-0485(2002)032&lt;2205:ZFITDW&gt;2.0.CO;2","http://dx.doi.org/10.1175/1520-0485(2002)032&lt;2205:ZFITDW&gt;2.0.CO;2")</f>
        <v>http://dx.doi.org/10.1175/1520-0485(2002)032&lt;2205:ZFITDW&gt;2.0.CO;2</v>
      </c>
      <c r="BG878" t="s">
        <v>74</v>
      </c>
      <c r="BH878" t="s">
        <v>74</v>
      </c>
      <c r="BI878">
        <v>31</v>
      </c>
      <c r="BJ878" t="s">
        <v>1394</v>
      </c>
      <c r="BK878" t="s">
        <v>569</v>
      </c>
      <c r="BL878" t="s">
        <v>1394</v>
      </c>
      <c r="BM878" t="s">
        <v>12084</v>
      </c>
      <c r="BN878" t="s">
        <v>74</v>
      </c>
      <c r="BO878" t="s">
        <v>3274</v>
      </c>
      <c r="BP878" t="s">
        <v>74</v>
      </c>
      <c r="BQ878" t="s">
        <v>74</v>
      </c>
      <c r="BR878" t="s">
        <v>98</v>
      </c>
      <c r="BS878" t="s">
        <v>12085</v>
      </c>
      <c r="BT878" t="str">
        <f>HYPERLINK("https%3A%2F%2Fwww.webofscience.com%2Fwos%2Fwoscc%2Ffull-record%2FWOS:000177324900001","View Full Record in Web of Science")</f>
        <v>View Full Record in Web of Science</v>
      </c>
    </row>
    <row r="879" spans="1:72" x14ac:dyDescent="0.15">
      <c r="A879" t="s">
        <v>552</v>
      </c>
      <c r="B879" t="s">
        <v>12086</v>
      </c>
      <c r="C879" t="s">
        <v>74</v>
      </c>
      <c r="D879" t="s">
        <v>74</v>
      </c>
      <c r="E879" t="s">
        <v>74</v>
      </c>
      <c r="F879" t="s">
        <v>12086</v>
      </c>
      <c r="G879" t="s">
        <v>74</v>
      </c>
      <c r="H879" t="s">
        <v>74</v>
      </c>
      <c r="I879" t="s">
        <v>12087</v>
      </c>
      <c r="J879" t="s">
        <v>6324</v>
      </c>
      <c r="K879" t="s">
        <v>74</v>
      </c>
      <c r="L879" t="s">
        <v>74</v>
      </c>
      <c r="M879" t="s">
        <v>78</v>
      </c>
      <c r="N879" t="s">
        <v>775</v>
      </c>
      <c r="O879" t="s">
        <v>74</v>
      </c>
      <c r="P879" t="s">
        <v>74</v>
      </c>
      <c r="Q879" t="s">
        <v>74</v>
      </c>
      <c r="R879" t="s">
        <v>74</v>
      </c>
      <c r="S879" t="s">
        <v>74</v>
      </c>
      <c r="T879" t="s">
        <v>74</v>
      </c>
      <c r="U879" t="s">
        <v>12088</v>
      </c>
      <c r="V879" t="s">
        <v>12089</v>
      </c>
      <c r="W879" t="s">
        <v>12090</v>
      </c>
      <c r="X879" t="s">
        <v>12091</v>
      </c>
      <c r="Y879" t="s">
        <v>12092</v>
      </c>
      <c r="Z879" t="s">
        <v>74</v>
      </c>
      <c r="AA879" t="s">
        <v>74</v>
      </c>
      <c r="AB879" t="s">
        <v>74</v>
      </c>
      <c r="AC879" t="s">
        <v>74</v>
      </c>
      <c r="AD879" t="s">
        <v>74</v>
      </c>
      <c r="AE879" t="s">
        <v>74</v>
      </c>
      <c r="AF879" t="s">
        <v>74</v>
      </c>
      <c r="AG879">
        <v>41</v>
      </c>
      <c r="AH879">
        <v>53</v>
      </c>
      <c r="AI879">
        <v>53</v>
      </c>
      <c r="AJ879">
        <v>0</v>
      </c>
      <c r="AK879">
        <v>8</v>
      </c>
      <c r="AL879" t="s">
        <v>2652</v>
      </c>
      <c r="AM879" t="s">
        <v>2653</v>
      </c>
      <c r="AN879" t="s">
        <v>2654</v>
      </c>
      <c r="AO879" t="s">
        <v>6332</v>
      </c>
      <c r="AP879" t="s">
        <v>74</v>
      </c>
      <c r="AQ879" t="s">
        <v>74</v>
      </c>
      <c r="AR879" t="s">
        <v>6334</v>
      </c>
      <c r="AS879" t="s">
        <v>6335</v>
      </c>
      <c r="AT879" t="s">
        <v>11370</v>
      </c>
      <c r="AU879">
        <v>2002</v>
      </c>
      <c r="AV879">
        <v>32</v>
      </c>
      <c r="AW879">
        <v>8</v>
      </c>
      <c r="AX879" t="s">
        <v>74</v>
      </c>
      <c r="AY879" t="s">
        <v>74</v>
      </c>
      <c r="AZ879" t="s">
        <v>74</v>
      </c>
      <c r="BA879" t="s">
        <v>74</v>
      </c>
      <c r="BB879">
        <v>2379</v>
      </c>
      <c r="BC879">
        <v>2404</v>
      </c>
      <c r="BD879" t="s">
        <v>74</v>
      </c>
      <c r="BE879" t="s">
        <v>12093</v>
      </c>
      <c r="BF879" t="str">
        <f>HYPERLINK("http://dx.doi.org/10.1175/1520-0485(2002)032&lt;2379:DOTPSC&gt;2.0.CO;2","http://dx.doi.org/10.1175/1520-0485(2002)032&lt;2379:DOTPSC&gt;2.0.CO;2")</f>
        <v>http://dx.doi.org/10.1175/1520-0485(2002)032&lt;2379:DOTPSC&gt;2.0.CO;2</v>
      </c>
      <c r="BG879" t="s">
        <v>74</v>
      </c>
      <c r="BH879" t="s">
        <v>74</v>
      </c>
      <c r="BI879">
        <v>26</v>
      </c>
      <c r="BJ879" t="s">
        <v>1394</v>
      </c>
      <c r="BK879" t="s">
        <v>569</v>
      </c>
      <c r="BL879" t="s">
        <v>1394</v>
      </c>
      <c r="BM879" t="s">
        <v>12084</v>
      </c>
      <c r="BN879" t="s">
        <v>74</v>
      </c>
      <c r="BO879" t="s">
        <v>2660</v>
      </c>
      <c r="BP879" t="s">
        <v>74</v>
      </c>
      <c r="BQ879" t="s">
        <v>74</v>
      </c>
      <c r="BR879" t="s">
        <v>98</v>
      </c>
      <c r="BS879" t="s">
        <v>12094</v>
      </c>
      <c r="BT879" t="str">
        <f>HYPERLINK("https%3A%2F%2Fwww.webofscience.com%2Fwos%2Fwoscc%2Ffull-record%2FWOS:000177324900010","View Full Record in Web of Science")</f>
        <v>View Full Record in Web of Science</v>
      </c>
    </row>
    <row r="880" spans="1:72" x14ac:dyDescent="0.15">
      <c r="A880" t="s">
        <v>552</v>
      </c>
      <c r="B880" t="s">
        <v>12095</v>
      </c>
      <c r="C880" t="s">
        <v>74</v>
      </c>
      <c r="D880" t="s">
        <v>74</v>
      </c>
      <c r="E880" t="s">
        <v>74</v>
      </c>
      <c r="F880" t="s">
        <v>12095</v>
      </c>
      <c r="G880" t="s">
        <v>74</v>
      </c>
      <c r="H880" t="s">
        <v>74</v>
      </c>
      <c r="I880" t="s">
        <v>12096</v>
      </c>
      <c r="J880" t="s">
        <v>6376</v>
      </c>
      <c r="K880" t="s">
        <v>74</v>
      </c>
      <c r="L880" t="s">
        <v>74</v>
      </c>
      <c r="M880" t="s">
        <v>78</v>
      </c>
      <c r="N880" t="s">
        <v>775</v>
      </c>
      <c r="O880" t="s">
        <v>74</v>
      </c>
      <c r="P880" t="s">
        <v>74</v>
      </c>
      <c r="Q880" t="s">
        <v>74</v>
      </c>
      <c r="R880" t="s">
        <v>74</v>
      </c>
      <c r="S880" t="s">
        <v>74</v>
      </c>
      <c r="T880" t="s">
        <v>74</v>
      </c>
      <c r="U880" t="s">
        <v>12097</v>
      </c>
      <c r="V880" t="s">
        <v>12098</v>
      </c>
      <c r="W880" t="s">
        <v>12099</v>
      </c>
      <c r="X880" t="s">
        <v>12100</v>
      </c>
      <c r="Y880" t="s">
        <v>12101</v>
      </c>
      <c r="Z880" t="s">
        <v>74</v>
      </c>
      <c r="AA880" t="s">
        <v>9290</v>
      </c>
      <c r="AB880" t="s">
        <v>74</v>
      </c>
      <c r="AC880" t="s">
        <v>74</v>
      </c>
      <c r="AD880" t="s">
        <v>74</v>
      </c>
      <c r="AE880" t="s">
        <v>74</v>
      </c>
      <c r="AF880" t="s">
        <v>74</v>
      </c>
      <c r="AG880">
        <v>9</v>
      </c>
      <c r="AH880">
        <v>19</v>
      </c>
      <c r="AI880">
        <v>23</v>
      </c>
      <c r="AJ880">
        <v>0</v>
      </c>
      <c r="AK880">
        <v>7</v>
      </c>
      <c r="AL880" t="s">
        <v>560</v>
      </c>
      <c r="AM880" t="s">
        <v>561</v>
      </c>
      <c r="AN880" t="s">
        <v>3082</v>
      </c>
      <c r="AO880" t="s">
        <v>6384</v>
      </c>
      <c r="AP880" t="s">
        <v>74</v>
      </c>
      <c r="AQ880" t="s">
        <v>74</v>
      </c>
      <c r="AR880" t="s">
        <v>6385</v>
      </c>
      <c r="AS880" t="s">
        <v>6386</v>
      </c>
      <c r="AT880" t="s">
        <v>11370</v>
      </c>
      <c r="AU880">
        <v>2002</v>
      </c>
      <c r="AV880">
        <v>82</v>
      </c>
      <c r="AW880">
        <v>4</v>
      </c>
      <c r="AX880" t="s">
        <v>74</v>
      </c>
      <c r="AY880" t="s">
        <v>74</v>
      </c>
      <c r="AZ880" t="s">
        <v>74</v>
      </c>
      <c r="BA880" t="s">
        <v>74</v>
      </c>
      <c r="BB880">
        <v>677</v>
      </c>
      <c r="BC880">
        <v>678</v>
      </c>
      <c r="BD880" t="s">
        <v>74</v>
      </c>
      <c r="BE880" t="s">
        <v>12102</v>
      </c>
      <c r="BF880" t="str">
        <f>HYPERLINK("http://dx.doi.org/10.1017/S0025315402006069","http://dx.doi.org/10.1017/S0025315402006069")</f>
        <v>http://dx.doi.org/10.1017/S0025315402006069</v>
      </c>
      <c r="BG880" t="s">
        <v>74</v>
      </c>
      <c r="BH880" t="s">
        <v>74</v>
      </c>
      <c r="BI880">
        <v>2</v>
      </c>
      <c r="BJ880" t="s">
        <v>989</v>
      </c>
      <c r="BK880" t="s">
        <v>569</v>
      </c>
      <c r="BL880" t="s">
        <v>989</v>
      </c>
      <c r="BM880" t="s">
        <v>12103</v>
      </c>
      <c r="BN880" t="s">
        <v>74</v>
      </c>
      <c r="BO880" t="s">
        <v>74</v>
      </c>
      <c r="BP880" t="s">
        <v>74</v>
      </c>
      <c r="BQ880" t="s">
        <v>74</v>
      </c>
      <c r="BR880" t="s">
        <v>98</v>
      </c>
      <c r="BS880" t="s">
        <v>12104</v>
      </c>
      <c r="BT880" t="str">
        <f>HYPERLINK("https%3A%2F%2Fwww.webofscience.com%2Fwos%2Fwoscc%2Ffull-record%2FWOS:000178173100023","View Full Record in Web of Science")</f>
        <v>View Full Record in Web of Science</v>
      </c>
    </row>
    <row r="881" spans="1:72" x14ac:dyDescent="0.15">
      <c r="A881" t="s">
        <v>552</v>
      </c>
      <c r="B881" t="s">
        <v>12105</v>
      </c>
      <c r="C881" t="s">
        <v>74</v>
      </c>
      <c r="D881" t="s">
        <v>74</v>
      </c>
      <c r="E881" t="s">
        <v>74</v>
      </c>
      <c r="F881" t="s">
        <v>12105</v>
      </c>
      <c r="G881" t="s">
        <v>74</v>
      </c>
      <c r="H881" t="s">
        <v>74</v>
      </c>
      <c r="I881" t="s">
        <v>12106</v>
      </c>
      <c r="J881" t="s">
        <v>6392</v>
      </c>
      <c r="K881" t="s">
        <v>74</v>
      </c>
      <c r="L881" t="s">
        <v>74</v>
      </c>
      <c r="M881" t="s">
        <v>78</v>
      </c>
      <c r="N881" t="s">
        <v>775</v>
      </c>
      <c r="O881" t="s">
        <v>74</v>
      </c>
      <c r="P881" t="s">
        <v>74</v>
      </c>
      <c r="Q881" t="s">
        <v>74</v>
      </c>
      <c r="R881" t="s">
        <v>74</v>
      </c>
      <c r="S881" t="s">
        <v>74</v>
      </c>
      <c r="T881" t="s">
        <v>74</v>
      </c>
      <c r="U881" t="s">
        <v>12107</v>
      </c>
      <c r="V881" t="s">
        <v>12108</v>
      </c>
      <c r="W881" t="s">
        <v>238</v>
      </c>
      <c r="X881" t="s">
        <v>239</v>
      </c>
      <c r="Y881" t="s">
        <v>12109</v>
      </c>
      <c r="Z881" t="s">
        <v>12110</v>
      </c>
      <c r="AA881" t="s">
        <v>74</v>
      </c>
      <c r="AB881" t="s">
        <v>74</v>
      </c>
      <c r="AC881" t="s">
        <v>74</v>
      </c>
      <c r="AD881" t="s">
        <v>74</v>
      </c>
      <c r="AE881" t="s">
        <v>74</v>
      </c>
      <c r="AF881" t="s">
        <v>74</v>
      </c>
      <c r="AG881">
        <v>23</v>
      </c>
      <c r="AH881">
        <v>29</v>
      </c>
      <c r="AI881">
        <v>29</v>
      </c>
      <c r="AJ881">
        <v>1</v>
      </c>
      <c r="AK881">
        <v>18</v>
      </c>
      <c r="AL881" t="s">
        <v>1230</v>
      </c>
      <c r="AM881" t="s">
        <v>561</v>
      </c>
      <c r="AN881" t="s">
        <v>2959</v>
      </c>
      <c r="AO881" t="s">
        <v>6397</v>
      </c>
      <c r="AP881" t="s">
        <v>74</v>
      </c>
      <c r="AQ881" t="s">
        <v>74</v>
      </c>
      <c r="AR881" t="s">
        <v>6398</v>
      </c>
      <c r="AS881" t="s">
        <v>6399</v>
      </c>
      <c r="AT881" t="s">
        <v>11370</v>
      </c>
      <c r="AU881">
        <v>2002</v>
      </c>
      <c r="AV881">
        <v>141</v>
      </c>
      <c r="AW881">
        <v>2</v>
      </c>
      <c r="AX881" t="s">
        <v>74</v>
      </c>
      <c r="AY881" t="s">
        <v>74</v>
      </c>
      <c r="AZ881" t="s">
        <v>74</v>
      </c>
      <c r="BA881" t="s">
        <v>74</v>
      </c>
      <c r="BB881">
        <v>271</v>
      </c>
      <c r="BC881">
        <v>276</v>
      </c>
      <c r="BD881" t="s">
        <v>74</v>
      </c>
      <c r="BE881" t="s">
        <v>12111</v>
      </c>
      <c r="BF881" t="str">
        <f>HYPERLINK("http://dx.doi.org/10.1007/s00227-002-0834-5","http://dx.doi.org/10.1007/s00227-002-0834-5")</f>
        <v>http://dx.doi.org/10.1007/s00227-002-0834-5</v>
      </c>
      <c r="BG881" t="s">
        <v>74</v>
      </c>
      <c r="BH881" t="s">
        <v>74</v>
      </c>
      <c r="BI881">
        <v>6</v>
      </c>
      <c r="BJ881" t="s">
        <v>989</v>
      </c>
      <c r="BK881" t="s">
        <v>569</v>
      </c>
      <c r="BL881" t="s">
        <v>989</v>
      </c>
      <c r="BM881" t="s">
        <v>12112</v>
      </c>
      <c r="BN881" t="s">
        <v>74</v>
      </c>
      <c r="BO881" t="s">
        <v>74</v>
      </c>
      <c r="BP881" t="s">
        <v>74</v>
      </c>
      <c r="BQ881" t="s">
        <v>74</v>
      </c>
      <c r="BR881" t="s">
        <v>98</v>
      </c>
      <c r="BS881" t="s">
        <v>12113</v>
      </c>
      <c r="BT881" t="str">
        <f>HYPERLINK("https%3A%2F%2Fwww.webofscience.com%2Fwos%2Fwoscc%2Ffull-record%2FWOS:000177995900007","View Full Record in Web of Science")</f>
        <v>View Full Record in Web of Science</v>
      </c>
    </row>
    <row r="882" spans="1:72" x14ac:dyDescent="0.15">
      <c r="A882" t="s">
        <v>552</v>
      </c>
      <c r="B882" t="s">
        <v>12114</v>
      </c>
      <c r="C882" t="s">
        <v>74</v>
      </c>
      <c r="D882" t="s">
        <v>74</v>
      </c>
      <c r="E882" t="s">
        <v>74</v>
      </c>
      <c r="F882" t="s">
        <v>12114</v>
      </c>
      <c r="G882" t="s">
        <v>74</v>
      </c>
      <c r="H882" t="s">
        <v>74</v>
      </c>
      <c r="I882" t="s">
        <v>12115</v>
      </c>
      <c r="J882" t="s">
        <v>3704</v>
      </c>
      <c r="K882" t="s">
        <v>74</v>
      </c>
      <c r="L882" t="s">
        <v>74</v>
      </c>
      <c r="M882" t="s">
        <v>78</v>
      </c>
      <c r="N882" t="s">
        <v>775</v>
      </c>
      <c r="O882" t="s">
        <v>74</v>
      </c>
      <c r="P882" t="s">
        <v>74</v>
      </c>
      <c r="Q882" t="s">
        <v>74</v>
      </c>
      <c r="R882" t="s">
        <v>74</v>
      </c>
      <c r="S882" t="s">
        <v>74</v>
      </c>
      <c r="T882" t="s">
        <v>74</v>
      </c>
      <c r="U882" t="s">
        <v>12116</v>
      </c>
      <c r="V882" t="s">
        <v>12117</v>
      </c>
      <c r="W882" t="s">
        <v>12118</v>
      </c>
      <c r="X882" t="s">
        <v>12119</v>
      </c>
      <c r="Y882" t="s">
        <v>12120</v>
      </c>
      <c r="Z882" t="s">
        <v>74</v>
      </c>
      <c r="AA882" t="s">
        <v>74</v>
      </c>
      <c r="AB882" t="s">
        <v>74</v>
      </c>
      <c r="AC882" t="s">
        <v>74</v>
      </c>
      <c r="AD882" t="s">
        <v>74</v>
      </c>
      <c r="AE882" t="s">
        <v>74</v>
      </c>
      <c r="AF882" t="s">
        <v>74</v>
      </c>
      <c r="AG882">
        <v>50</v>
      </c>
      <c r="AH882">
        <v>13</v>
      </c>
      <c r="AI882">
        <v>13</v>
      </c>
      <c r="AJ882">
        <v>0</v>
      </c>
      <c r="AK882">
        <v>15</v>
      </c>
      <c r="AL882" t="s">
        <v>3710</v>
      </c>
      <c r="AM882" t="s">
        <v>3711</v>
      </c>
      <c r="AN882" t="s">
        <v>3712</v>
      </c>
      <c r="AO882" t="s">
        <v>3713</v>
      </c>
      <c r="AP882" t="s">
        <v>74</v>
      </c>
      <c r="AQ882" t="s">
        <v>74</v>
      </c>
      <c r="AR882" t="s">
        <v>3714</v>
      </c>
      <c r="AS882" t="s">
        <v>3715</v>
      </c>
      <c r="AT882" t="s">
        <v>11370</v>
      </c>
      <c r="AU882">
        <v>2002</v>
      </c>
      <c r="AV882">
        <v>37</v>
      </c>
      <c r="AW882">
        <v>8</v>
      </c>
      <c r="AX882" t="s">
        <v>74</v>
      </c>
      <c r="AY882" t="s">
        <v>74</v>
      </c>
      <c r="AZ882" t="s">
        <v>74</v>
      </c>
      <c r="BA882" t="s">
        <v>74</v>
      </c>
      <c r="BB882">
        <v>1057</v>
      </c>
      <c r="BC882">
        <v>1069</v>
      </c>
      <c r="BD882" t="s">
        <v>74</v>
      </c>
      <c r="BE882" t="s">
        <v>12121</v>
      </c>
      <c r="BF882" t="str">
        <f>HYPERLINK("http://dx.doi.org/10.1111/j.1945-5100.2002.tb00877.x","http://dx.doi.org/10.1111/j.1945-5100.2002.tb00877.x")</f>
        <v>http://dx.doi.org/10.1111/j.1945-5100.2002.tb00877.x</v>
      </c>
      <c r="BG882" t="s">
        <v>74</v>
      </c>
      <c r="BH882" t="s">
        <v>74</v>
      </c>
      <c r="BI882">
        <v>13</v>
      </c>
      <c r="BJ882" t="s">
        <v>2068</v>
      </c>
      <c r="BK882" t="s">
        <v>569</v>
      </c>
      <c r="BL882" t="s">
        <v>2068</v>
      </c>
      <c r="BM882" t="s">
        <v>12122</v>
      </c>
      <c r="BN882" t="s">
        <v>74</v>
      </c>
      <c r="BO882" t="s">
        <v>74</v>
      </c>
      <c r="BP882" t="s">
        <v>74</v>
      </c>
      <c r="BQ882" t="s">
        <v>74</v>
      </c>
      <c r="BR882" t="s">
        <v>98</v>
      </c>
      <c r="BS882" t="s">
        <v>12123</v>
      </c>
      <c r="BT882" t="str">
        <f>HYPERLINK("https%3A%2F%2Fwww.webofscience.com%2Fwos%2Fwoscc%2Ffull-record%2FWOS:000177706500003","View Full Record in Web of Science")</f>
        <v>View Full Record in Web of Science</v>
      </c>
    </row>
    <row r="883" spans="1:72" x14ac:dyDescent="0.15">
      <c r="A883" t="s">
        <v>552</v>
      </c>
      <c r="B883" t="s">
        <v>12124</v>
      </c>
      <c r="C883" t="s">
        <v>74</v>
      </c>
      <c r="D883" t="s">
        <v>74</v>
      </c>
      <c r="E883" t="s">
        <v>74</v>
      </c>
      <c r="F883" t="s">
        <v>12124</v>
      </c>
      <c r="G883" t="s">
        <v>74</v>
      </c>
      <c r="H883" t="s">
        <v>74</v>
      </c>
      <c r="I883" t="s">
        <v>12125</v>
      </c>
      <c r="J883" t="s">
        <v>3774</v>
      </c>
      <c r="K883" t="s">
        <v>74</v>
      </c>
      <c r="L883" t="s">
        <v>74</v>
      </c>
      <c r="M883" t="s">
        <v>78</v>
      </c>
      <c r="N883" t="s">
        <v>775</v>
      </c>
      <c r="O883" t="s">
        <v>74</v>
      </c>
      <c r="P883" t="s">
        <v>74</v>
      </c>
      <c r="Q883" t="s">
        <v>74</v>
      </c>
      <c r="R883" t="s">
        <v>74</v>
      </c>
      <c r="S883" t="s">
        <v>74</v>
      </c>
      <c r="T883" t="s">
        <v>12126</v>
      </c>
      <c r="U883" t="s">
        <v>12127</v>
      </c>
      <c r="V883" t="s">
        <v>12128</v>
      </c>
      <c r="W883" t="s">
        <v>12129</v>
      </c>
      <c r="X883" t="s">
        <v>12130</v>
      </c>
      <c r="Y883" t="s">
        <v>12131</v>
      </c>
      <c r="Z883" t="s">
        <v>12132</v>
      </c>
      <c r="AA883" t="s">
        <v>12133</v>
      </c>
      <c r="AB883" t="s">
        <v>12134</v>
      </c>
      <c r="AC883" t="s">
        <v>74</v>
      </c>
      <c r="AD883" t="s">
        <v>74</v>
      </c>
      <c r="AE883" t="s">
        <v>74</v>
      </c>
      <c r="AF883" t="s">
        <v>74</v>
      </c>
      <c r="AG883">
        <v>46</v>
      </c>
      <c r="AH883">
        <v>123</v>
      </c>
      <c r="AI883">
        <v>129</v>
      </c>
      <c r="AJ883">
        <v>0</v>
      </c>
      <c r="AK883">
        <v>22</v>
      </c>
      <c r="AL883" t="s">
        <v>942</v>
      </c>
      <c r="AM883" t="s">
        <v>807</v>
      </c>
      <c r="AN883" t="s">
        <v>943</v>
      </c>
      <c r="AO883" t="s">
        <v>3786</v>
      </c>
      <c r="AP883" t="s">
        <v>12135</v>
      </c>
      <c r="AQ883" t="s">
        <v>74</v>
      </c>
      <c r="AR883" t="s">
        <v>3787</v>
      </c>
      <c r="AS883" t="s">
        <v>3788</v>
      </c>
      <c r="AT883" t="s">
        <v>11370</v>
      </c>
      <c r="AU883">
        <v>2002</v>
      </c>
      <c r="AV883">
        <v>19</v>
      </c>
      <c r="AW883">
        <v>8</v>
      </c>
      <c r="AX883" t="s">
        <v>74</v>
      </c>
      <c r="AY883" t="s">
        <v>74</v>
      </c>
      <c r="AZ883" t="s">
        <v>74</v>
      </c>
      <c r="BA883" t="s">
        <v>74</v>
      </c>
      <c r="BB883">
        <v>1209</v>
      </c>
      <c r="BC883">
        <v>1217</v>
      </c>
      <c r="BD883" t="s">
        <v>74</v>
      </c>
      <c r="BE883" t="s">
        <v>12136</v>
      </c>
      <c r="BF883" t="str">
        <f>HYPERLINK("http://dx.doi.org/10.1093/oxfordjournals.molbev.a004181","http://dx.doi.org/10.1093/oxfordjournals.molbev.a004181")</f>
        <v>http://dx.doi.org/10.1093/oxfordjournals.molbev.a004181</v>
      </c>
      <c r="BG883" t="s">
        <v>74</v>
      </c>
      <c r="BH883" t="s">
        <v>74</v>
      </c>
      <c r="BI883">
        <v>9</v>
      </c>
      <c r="BJ883" t="s">
        <v>2967</v>
      </c>
      <c r="BK883" t="s">
        <v>569</v>
      </c>
      <c r="BL883" t="s">
        <v>2967</v>
      </c>
      <c r="BM883" t="s">
        <v>12137</v>
      </c>
      <c r="BN883">
        <v>12140232</v>
      </c>
      <c r="BO883" t="s">
        <v>3274</v>
      </c>
      <c r="BP883" t="s">
        <v>74</v>
      </c>
      <c r="BQ883" t="s">
        <v>74</v>
      </c>
      <c r="BR883" t="s">
        <v>98</v>
      </c>
      <c r="BS883" t="s">
        <v>12138</v>
      </c>
      <c r="BT883" t="str">
        <f>HYPERLINK("https%3A%2F%2Fwww.webofscience.com%2Fwos%2Fwoscc%2Ffull-record%2FWOS:000177643900001","View Full Record in Web of Science")</f>
        <v>View Full Record in Web of Science</v>
      </c>
    </row>
    <row r="884" spans="1:72" x14ac:dyDescent="0.15">
      <c r="A884" t="s">
        <v>552</v>
      </c>
      <c r="B884" t="s">
        <v>12139</v>
      </c>
      <c r="C884" t="s">
        <v>74</v>
      </c>
      <c r="D884" t="s">
        <v>74</v>
      </c>
      <c r="E884" t="s">
        <v>74</v>
      </c>
      <c r="F884" t="s">
        <v>12139</v>
      </c>
      <c r="G884" t="s">
        <v>74</v>
      </c>
      <c r="H884" t="s">
        <v>74</v>
      </c>
      <c r="I884" t="s">
        <v>12140</v>
      </c>
      <c r="J884" t="s">
        <v>12141</v>
      </c>
      <c r="K884" t="s">
        <v>74</v>
      </c>
      <c r="L884" t="s">
        <v>74</v>
      </c>
      <c r="M884" t="s">
        <v>78</v>
      </c>
      <c r="N884" t="s">
        <v>775</v>
      </c>
      <c r="O884" t="s">
        <v>74</v>
      </c>
      <c r="P884" t="s">
        <v>74</v>
      </c>
      <c r="Q884" t="s">
        <v>74</v>
      </c>
      <c r="R884" t="s">
        <v>74</v>
      </c>
      <c r="S884" t="s">
        <v>74</v>
      </c>
      <c r="T884" t="s">
        <v>12142</v>
      </c>
      <c r="U884" t="s">
        <v>12143</v>
      </c>
      <c r="V884" t="s">
        <v>12144</v>
      </c>
      <c r="W884" t="s">
        <v>12145</v>
      </c>
      <c r="X884" t="s">
        <v>6143</v>
      </c>
      <c r="Y884" t="s">
        <v>12146</v>
      </c>
      <c r="Z884" t="s">
        <v>12147</v>
      </c>
      <c r="AA884" t="s">
        <v>12148</v>
      </c>
      <c r="AB884" t="s">
        <v>12149</v>
      </c>
      <c r="AC884" t="s">
        <v>74</v>
      </c>
      <c r="AD884" t="s">
        <v>74</v>
      </c>
      <c r="AE884" t="s">
        <v>74</v>
      </c>
      <c r="AF884" t="s">
        <v>74</v>
      </c>
      <c r="AG884">
        <v>41</v>
      </c>
      <c r="AH884">
        <v>36</v>
      </c>
      <c r="AI884">
        <v>39</v>
      </c>
      <c r="AJ884">
        <v>2</v>
      </c>
      <c r="AK884">
        <v>30</v>
      </c>
      <c r="AL884" t="s">
        <v>1230</v>
      </c>
      <c r="AM884" t="s">
        <v>561</v>
      </c>
      <c r="AN884" t="s">
        <v>1231</v>
      </c>
      <c r="AO884" t="s">
        <v>12150</v>
      </c>
      <c r="AP884" t="s">
        <v>12151</v>
      </c>
      <c r="AQ884" t="s">
        <v>74</v>
      </c>
      <c r="AR884" t="s">
        <v>12141</v>
      </c>
      <c r="AS884" t="s">
        <v>12152</v>
      </c>
      <c r="AT884" t="s">
        <v>11370</v>
      </c>
      <c r="AU884">
        <v>2002</v>
      </c>
      <c r="AV884">
        <v>132</v>
      </c>
      <c r="AW884">
        <v>4</v>
      </c>
      <c r="AX884" t="s">
        <v>74</v>
      </c>
      <c r="AY884" t="s">
        <v>74</v>
      </c>
      <c r="AZ884" t="s">
        <v>74</v>
      </c>
      <c r="BA884" t="s">
        <v>74</v>
      </c>
      <c r="BB884">
        <v>509</v>
      </c>
      <c r="BC884">
        <v>516</v>
      </c>
      <c r="BD884" t="s">
        <v>74</v>
      </c>
      <c r="BE884" t="s">
        <v>12153</v>
      </c>
      <c r="BF884" t="str">
        <f>HYPERLINK("http://dx.doi.org/10.1007/s00442-002-0985-6","http://dx.doi.org/10.1007/s00442-002-0985-6")</f>
        <v>http://dx.doi.org/10.1007/s00442-002-0985-6</v>
      </c>
      <c r="BG884" t="s">
        <v>74</v>
      </c>
      <c r="BH884" t="s">
        <v>74</v>
      </c>
      <c r="BI884">
        <v>8</v>
      </c>
      <c r="BJ884" t="s">
        <v>5794</v>
      </c>
      <c r="BK884" t="s">
        <v>569</v>
      </c>
      <c r="BL884" t="s">
        <v>1195</v>
      </c>
      <c r="BM884" t="s">
        <v>12154</v>
      </c>
      <c r="BN884">
        <v>28547636</v>
      </c>
      <c r="BO884" t="s">
        <v>74</v>
      </c>
      <c r="BP884" t="s">
        <v>74</v>
      </c>
      <c r="BQ884" t="s">
        <v>74</v>
      </c>
      <c r="BR884" t="s">
        <v>98</v>
      </c>
      <c r="BS884" t="s">
        <v>12155</v>
      </c>
      <c r="BT884" t="str">
        <f>HYPERLINK("https%3A%2F%2Fwww.webofscience.com%2Fwos%2Fwoscc%2Ffull-record%2FWOS:000177866100004","View Full Record in Web of Science")</f>
        <v>View Full Record in Web of Science</v>
      </c>
    </row>
    <row r="885" spans="1:72" x14ac:dyDescent="0.15">
      <c r="A885" t="s">
        <v>552</v>
      </c>
      <c r="B885" t="s">
        <v>12156</v>
      </c>
      <c r="C885" t="s">
        <v>74</v>
      </c>
      <c r="D885" t="s">
        <v>74</v>
      </c>
      <c r="E885" t="s">
        <v>74</v>
      </c>
      <c r="F885" t="s">
        <v>12156</v>
      </c>
      <c r="G885" t="s">
        <v>74</v>
      </c>
      <c r="H885" t="s">
        <v>74</v>
      </c>
      <c r="I885" t="s">
        <v>12157</v>
      </c>
      <c r="J885" t="s">
        <v>12158</v>
      </c>
      <c r="K885" t="s">
        <v>74</v>
      </c>
      <c r="L885" t="s">
        <v>74</v>
      </c>
      <c r="M885" t="s">
        <v>78</v>
      </c>
      <c r="N885" t="s">
        <v>1114</v>
      </c>
      <c r="O885" t="s">
        <v>74</v>
      </c>
      <c r="P885" t="s">
        <v>74</v>
      </c>
      <c r="Q885" t="s">
        <v>74</v>
      </c>
      <c r="R885" t="s">
        <v>74</v>
      </c>
      <c r="S885" t="s">
        <v>74</v>
      </c>
      <c r="T885" t="s">
        <v>74</v>
      </c>
      <c r="U885" t="s">
        <v>12159</v>
      </c>
      <c r="V885" t="s">
        <v>12160</v>
      </c>
      <c r="W885" t="s">
        <v>12161</v>
      </c>
      <c r="X885" t="s">
        <v>12162</v>
      </c>
      <c r="Y885" t="s">
        <v>12163</v>
      </c>
      <c r="Z885" t="s">
        <v>12164</v>
      </c>
      <c r="AA885" t="s">
        <v>12165</v>
      </c>
      <c r="AB885" t="s">
        <v>12166</v>
      </c>
      <c r="AC885" t="s">
        <v>74</v>
      </c>
      <c r="AD885" t="s">
        <v>74</v>
      </c>
      <c r="AE885" t="s">
        <v>74</v>
      </c>
      <c r="AF885" t="s">
        <v>74</v>
      </c>
      <c r="AG885">
        <v>49</v>
      </c>
      <c r="AH885">
        <v>141</v>
      </c>
      <c r="AI885">
        <v>156</v>
      </c>
      <c r="AJ885">
        <v>3</v>
      </c>
      <c r="AK885">
        <v>76</v>
      </c>
      <c r="AL885" t="s">
        <v>1147</v>
      </c>
      <c r="AM885" t="s">
        <v>1148</v>
      </c>
      <c r="AN885" t="s">
        <v>1149</v>
      </c>
      <c r="AO885" t="s">
        <v>12167</v>
      </c>
      <c r="AP885" t="s">
        <v>12168</v>
      </c>
      <c r="AQ885" t="s">
        <v>74</v>
      </c>
      <c r="AR885" t="s">
        <v>12169</v>
      </c>
      <c r="AS885" t="s">
        <v>12170</v>
      </c>
      <c r="AT885" t="s">
        <v>11370</v>
      </c>
      <c r="AU885">
        <v>2002</v>
      </c>
      <c r="AV885">
        <v>115</v>
      </c>
      <c r="AW885">
        <v>4</v>
      </c>
      <c r="AX885" t="s">
        <v>74</v>
      </c>
      <c r="AY885" t="s">
        <v>74</v>
      </c>
      <c r="AZ885" t="s">
        <v>74</v>
      </c>
      <c r="BA885" t="s">
        <v>74</v>
      </c>
      <c r="BB885">
        <v>479</v>
      </c>
      <c r="BC885">
        <v>486</v>
      </c>
      <c r="BD885" t="s">
        <v>74</v>
      </c>
      <c r="BE885" t="s">
        <v>12171</v>
      </c>
      <c r="BF885" t="str">
        <f>HYPERLINK("http://dx.doi.org/10.1034/j.1399-3054.2002.1150401.x","http://dx.doi.org/10.1034/j.1399-3054.2002.1150401.x")</f>
        <v>http://dx.doi.org/10.1034/j.1399-3054.2002.1150401.x</v>
      </c>
      <c r="BG885" t="s">
        <v>74</v>
      </c>
      <c r="BH885" t="s">
        <v>74</v>
      </c>
      <c r="BI885">
        <v>8</v>
      </c>
      <c r="BJ885" t="s">
        <v>2326</v>
      </c>
      <c r="BK885" t="s">
        <v>569</v>
      </c>
      <c r="BL885" t="s">
        <v>2326</v>
      </c>
      <c r="BM885" t="s">
        <v>12172</v>
      </c>
      <c r="BN885">
        <v>12121453</v>
      </c>
      <c r="BO885" t="s">
        <v>74</v>
      </c>
      <c r="BP885" t="s">
        <v>74</v>
      </c>
      <c r="BQ885" t="s">
        <v>74</v>
      </c>
      <c r="BR885" t="s">
        <v>98</v>
      </c>
      <c r="BS885" t="s">
        <v>12173</v>
      </c>
      <c r="BT885" t="str">
        <f>HYPERLINK("https%3A%2F%2Fwww.webofscience.com%2Fwos%2Fwoscc%2Ffull-record%2FWOS:000176802200001","View Full Record in Web of Science")</f>
        <v>View Full Record in Web of Science</v>
      </c>
    </row>
    <row r="886" spans="1:72" x14ac:dyDescent="0.15">
      <c r="A886" t="s">
        <v>552</v>
      </c>
      <c r="B886" t="s">
        <v>12174</v>
      </c>
      <c r="C886" t="s">
        <v>74</v>
      </c>
      <c r="D886" t="s">
        <v>74</v>
      </c>
      <c r="E886" t="s">
        <v>74</v>
      </c>
      <c r="F886" t="s">
        <v>12174</v>
      </c>
      <c r="G886" t="s">
        <v>74</v>
      </c>
      <c r="H886" t="s">
        <v>74</v>
      </c>
      <c r="I886" t="s">
        <v>12175</v>
      </c>
      <c r="J886" t="s">
        <v>4431</v>
      </c>
      <c r="K886" t="s">
        <v>74</v>
      </c>
      <c r="L886" t="s">
        <v>74</v>
      </c>
      <c r="M886" t="s">
        <v>78</v>
      </c>
      <c r="N886" t="s">
        <v>775</v>
      </c>
      <c r="O886" t="s">
        <v>74</v>
      </c>
      <c r="P886" t="s">
        <v>74</v>
      </c>
      <c r="Q886" t="s">
        <v>74</v>
      </c>
      <c r="R886" t="s">
        <v>74</v>
      </c>
      <c r="S886" t="s">
        <v>74</v>
      </c>
      <c r="T886" t="s">
        <v>74</v>
      </c>
      <c r="U886" t="s">
        <v>12176</v>
      </c>
      <c r="V886" t="s">
        <v>12177</v>
      </c>
      <c r="W886" t="s">
        <v>12178</v>
      </c>
      <c r="X886" t="s">
        <v>584</v>
      </c>
      <c r="Y886" t="s">
        <v>12179</v>
      </c>
      <c r="Z886" t="s">
        <v>74</v>
      </c>
      <c r="AA886" t="s">
        <v>12180</v>
      </c>
      <c r="AB886" t="s">
        <v>12181</v>
      </c>
      <c r="AC886" t="s">
        <v>74</v>
      </c>
      <c r="AD886" t="s">
        <v>74</v>
      </c>
      <c r="AE886" t="s">
        <v>74</v>
      </c>
      <c r="AF886" t="s">
        <v>74</v>
      </c>
      <c r="AG886">
        <v>28</v>
      </c>
      <c r="AH886">
        <v>18</v>
      </c>
      <c r="AI886">
        <v>18</v>
      </c>
      <c r="AJ886">
        <v>0</v>
      </c>
      <c r="AK886">
        <v>5</v>
      </c>
      <c r="AL886" t="s">
        <v>1259</v>
      </c>
      <c r="AM886" t="s">
        <v>561</v>
      </c>
      <c r="AN886" t="s">
        <v>1260</v>
      </c>
      <c r="AO886" t="s">
        <v>4435</v>
      </c>
      <c r="AP886" t="s">
        <v>74</v>
      </c>
      <c r="AQ886" t="s">
        <v>74</v>
      </c>
      <c r="AR886" t="s">
        <v>4436</v>
      </c>
      <c r="AS886" t="s">
        <v>4437</v>
      </c>
      <c r="AT886" t="s">
        <v>11370</v>
      </c>
      <c r="AU886">
        <v>2002</v>
      </c>
      <c r="AV886">
        <v>25</v>
      </c>
      <c r="AW886">
        <v>8</v>
      </c>
      <c r="AX886" t="s">
        <v>74</v>
      </c>
      <c r="AY886" t="s">
        <v>74</v>
      </c>
      <c r="AZ886" t="s">
        <v>74</v>
      </c>
      <c r="BA886" t="s">
        <v>74</v>
      </c>
      <c r="BB886">
        <v>583</v>
      </c>
      <c r="BC886">
        <v>590</v>
      </c>
      <c r="BD886" t="s">
        <v>74</v>
      </c>
      <c r="BE886" t="s">
        <v>12182</v>
      </c>
      <c r="BF886" t="str">
        <f>HYPERLINK("http://dx.doi.org/10.1007/s00300-002-0378-7","http://dx.doi.org/10.1007/s00300-002-0378-7")</f>
        <v>http://dx.doi.org/10.1007/s00300-002-0378-7</v>
      </c>
      <c r="BG886" t="s">
        <v>74</v>
      </c>
      <c r="BH886" t="s">
        <v>74</v>
      </c>
      <c r="BI886">
        <v>8</v>
      </c>
      <c r="BJ886" t="s">
        <v>4439</v>
      </c>
      <c r="BK886" t="s">
        <v>569</v>
      </c>
      <c r="BL886" t="s">
        <v>4440</v>
      </c>
      <c r="BM886" t="s">
        <v>12183</v>
      </c>
      <c r="BN886" t="s">
        <v>74</v>
      </c>
      <c r="BO886" t="s">
        <v>74</v>
      </c>
      <c r="BP886" t="s">
        <v>74</v>
      </c>
      <c r="BQ886" t="s">
        <v>74</v>
      </c>
      <c r="BR886" t="s">
        <v>98</v>
      </c>
      <c r="BS886" t="s">
        <v>12184</v>
      </c>
      <c r="BT886" t="str">
        <f>HYPERLINK("https%3A%2F%2Fwww.webofscience.com%2Fwos%2Fwoscc%2Ffull-record%2FWOS:000177451600005","View Full Record in Web of Science")</f>
        <v>View Full Record in Web of Science</v>
      </c>
    </row>
    <row r="887" spans="1:72" x14ac:dyDescent="0.15">
      <c r="A887" t="s">
        <v>552</v>
      </c>
      <c r="B887" t="s">
        <v>12185</v>
      </c>
      <c r="C887" t="s">
        <v>74</v>
      </c>
      <c r="D887" t="s">
        <v>74</v>
      </c>
      <c r="E887" t="s">
        <v>74</v>
      </c>
      <c r="F887" t="s">
        <v>12185</v>
      </c>
      <c r="G887" t="s">
        <v>74</v>
      </c>
      <c r="H887" t="s">
        <v>74</v>
      </c>
      <c r="I887" t="s">
        <v>12186</v>
      </c>
      <c r="J887" t="s">
        <v>4431</v>
      </c>
      <c r="K887" t="s">
        <v>74</v>
      </c>
      <c r="L887" t="s">
        <v>74</v>
      </c>
      <c r="M887" t="s">
        <v>78</v>
      </c>
      <c r="N887" t="s">
        <v>775</v>
      </c>
      <c r="O887" t="s">
        <v>74</v>
      </c>
      <c r="P887" t="s">
        <v>74</v>
      </c>
      <c r="Q887" t="s">
        <v>74</v>
      </c>
      <c r="R887" t="s">
        <v>74</v>
      </c>
      <c r="S887" t="s">
        <v>74</v>
      </c>
      <c r="T887" t="s">
        <v>74</v>
      </c>
      <c r="U887" t="s">
        <v>12187</v>
      </c>
      <c r="V887" t="s">
        <v>12188</v>
      </c>
      <c r="W887" t="s">
        <v>12189</v>
      </c>
      <c r="X887" t="s">
        <v>12190</v>
      </c>
      <c r="Y887" t="s">
        <v>12191</v>
      </c>
      <c r="Z887" t="s">
        <v>12192</v>
      </c>
      <c r="AA887" t="s">
        <v>12193</v>
      </c>
      <c r="AB887" t="s">
        <v>12194</v>
      </c>
      <c r="AC887" t="s">
        <v>74</v>
      </c>
      <c r="AD887" t="s">
        <v>74</v>
      </c>
      <c r="AE887" t="s">
        <v>74</v>
      </c>
      <c r="AF887" t="s">
        <v>74</v>
      </c>
      <c r="AG887">
        <v>40</v>
      </c>
      <c r="AH887">
        <v>145</v>
      </c>
      <c r="AI887">
        <v>156</v>
      </c>
      <c r="AJ887">
        <v>1</v>
      </c>
      <c r="AK887">
        <v>71</v>
      </c>
      <c r="AL887" t="s">
        <v>1230</v>
      </c>
      <c r="AM887" t="s">
        <v>561</v>
      </c>
      <c r="AN887" t="s">
        <v>1231</v>
      </c>
      <c r="AO887" t="s">
        <v>4435</v>
      </c>
      <c r="AP887" t="s">
        <v>4450</v>
      </c>
      <c r="AQ887" t="s">
        <v>74</v>
      </c>
      <c r="AR887" t="s">
        <v>4436</v>
      </c>
      <c r="AS887" t="s">
        <v>4437</v>
      </c>
      <c r="AT887" t="s">
        <v>11370</v>
      </c>
      <c r="AU887">
        <v>2002</v>
      </c>
      <c r="AV887">
        <v>25</v>
      </c>
      <c r="AW887">
        <v>8</v>
      </c>
      <c r="AX887" t="s">
        <v>74</v>
      </c>
      <c r="AY887" t="s">
        <v>74</v>
      </c>
      <c r="AZ887" t="s">
        <v>74</v>
      </c>
      <c r="BA887" t="s">
        <v>74</v>
      </c>
      <c r="BB887">
        <v>591</v>
      </c>
      <c r="BC887">
        <v>596</v>
      </c>
      <c r="BD887" t="s">
        <v>74</v>
      </c>
      <c r="BE887" t="s">
        <v>12195</v>
      </c>
      <c r="BF887" t="str">
        <f>HYPERLINK("http://dx.doi.org/10.1007/s00300-002-0388-5","http://dx.doi.org/10.1007/s00300-002-0388-5")</f>
        <v>http://dx.doi.org/10.1007/s00300-002-0388-5</v>
      </c>
      <c r="BG887" t="s">
        <v>74</v>
      </c>
      <c r="BH887" t="s">
        <v>74</v>
      </c>
      <c r="BI887">
        <v>6</v>
      </c>
      <c r="BJ887" t="s">
        <v>4439</v>
      </c>
      <c r="BK887" t="s">
        <v>569</v>
      </c>
      <c r="BL887" t="s">
        <v>4440</v>
      </c>
      <c r="BM887" t="s">
        <v>12183</v>
      </c>
      <c r="BN887" t="s">
        <v>74</v>
      </c>
      <c r="BO887" t="s">
        <v>74</v>
      </c>
      <c r="BP887" t="s">
        <v>74</v>
      </c>
      <c r="BQ887" t="s">
        <v>74</v>
      </c>
      <c r="BR887" t="s">
        <v>98</v>
      </c>
      <c r="BS887" t="s">
        <v>12196</v>
      </c>
      <c r="BT887" t="str">
        <f>HYPERLINK("https%3A%2F%2Fwww.webofscience.com%2Fwos%2Fwoscc%2Ffull-record%2FWOS:000177451600006","View Full Record in Web of Science")</f>
        <v>View Full Record in Web of Science</v>
      </c>
    </row>
    <row r="888" spans="1:72" x14ac:dyDescent="0.15">
      <c r="A888" t="s">
        <v>552</v>
      </c>
      <c r="B888" t="s">
        <v>12197</v>
      </c>
      <c r="C888" t="s">
        <v>74</v>
      </c>
      <c r="D888" t="s">
        <v>74</v>
      </c>
      <c r="E888" t="s">
        <v>74</v>
      </c>
      <c r="F888" t="s">
        <v>12197</v>
      </c>
      <c r="G888" t="s">
        <v>74</v>
      </c>
      <c r="H888" t="s">
        <v>74</v>
      </c>
      <c r="I888" t="s">
        <v>12198</v>
      </c>
      <c r="J888" t="s">
        <v>4431</v>
      </c>
      <c r="K888" t="s">
        <v>74</v>
      </c>
      <c r="L888" t="s">
        <v>74</v>
      </c>
      <c r="M888" t="s">
        <v>78</v>
      </c>
      <c r="N888" t="s">
        <v>775</v>
      </c>
      <c r="O888" t="s">
        <v>74</v>
      </c>
      <c r="P888" t="s">
        <v>74</v>
      </c>
      <c r="Q888" t="s">
        <v>74</v>
      </c>
      <c r="R888" t="s">
        <v>74</v>
      </c>
      <c r="S888" t="s">
        <v>74</v>
      </c>
      <c r="T888" t="s">
        <v>74</v>
      </c>
      <c r="U888" t="s">
        <v>12199</v>
      </c>
      <c r="V888" t="s">
        <v>12200</v>
      </c>
      <c r="W888" t="s">
        <v>12201</v>
      </c>
      <c r="X888" t="s">
        <v>12202</v>
      </c>
      <c r="Y888" t="s">
        <v>12203</v>
      </c>
      <c r="Z888" t="s">
        <v>12204</v>
      </c>
      <c r="AA888" t="s">
        <v>12205</v>
      </c>
      <c r="AB888" t="s">
        <v>12206</v>
      </c>
      <c r="AC888" t="s">
        <v>74</v>
      </c>
      <c r="AD888" t="s">
        <v>74</v>
      </c>
      <c r="AE888" t="s">
        <v>74</v>
      </c>
      <c r="AF888" t="s">
        <v>74</v>
      </c>
      <c r="AG888">
        <v>42</v>
      </c>
      <c r="AH888">
        <v>10</v>
      </c>
      <c r="AI888">
        <v>12</v>
      </c>
      <c r="AJ888">
        <v>0</v>
      </c>
      <c r="AK888">
        <v>6</v>
      </c>
      <c r="AL888" t="s">
        <v>1230</v>
      </c>
      <c r="AM888" t="s">
        <v>561</v>
      </c>
      <c r="AN888" t="s">
        <v>2959</v>
      </c>
      <c r="AO888" t="s">
        <v>4435</v>
      </c>
      <c r="AP888" t="s">
        <v>74</v>
      </c>
      <c r="AQ888" t="s">
        <v>74</v>
      </c>
      <c r="AR888" t="s">
        <v>4436</v>
      </c>
      <c r="AS888" t="s">
        <v>4437</v>
      </c>
      <c r="AT888" t="s">
        <v>11370</v>
      </c>
      <c r="AU888">
        <v>2002</v>
      </c>
      <c r="AV888">
        <v>25</v>
      </c>
      <c r="AW888">
        <v>8</v>
      </c>
      <c r="AX888" t="s">
        <v>74</v>
      </c>
      <c r="AY888" t="s">
        <v>74</v>
      </c>
      <c r="AZ888" t="s">
        <v>74</v>
      </c>
      <c r="BA888" t="s">
        <v>74</v>
      </c>
      <c r="BB888">
        <v>597</v>
      </c>
      <c r="BC888">
        <v>604</v>
      </c>
      <c r="BD888" t="s">
        <v>74</v>
      </c>
      <c r="BE888" t="s">
        <v>12207</v>
      </c>
      <c r="BF888" t="str">
        <f>HYPERLINK("http://dx.doi.org/10.1007/s00300-002-0380-0","http://dx.doi.org/10.1007/s00300-002-0380-0")</f>
        <v>http://dx.doi.org/10.1007/s00300-002-0380-0</v>
      </c>
      <c r="BG888" t="s">
        <v>74</v>
      </c>
      <c r="BH888" t="s">
        <v>74</v>
      </c>
      <c r="BI888">
        <v>8</v>
      </c>
      <c r="BJ888" t="s">
        <v>4439</v>
      </c>
      <c r="BK888" t="s">
        <v>569</v>
      </c>
      <c r="BL888" t="s">
        <v>4440</v>
      </c>
      <c r="BM888" t="s">
        <v>12183</v>
      </c>
      <c r="BN888" t="s">
        <v>74</v>
      </c>
      <c r="BO888" t="s">
        <v>74</v>
      </c>
      <c r="BP888" t="s">
        <v>74</v>
      </c>
      <c r="BQ888" t="s">
        <v>74</v>
      </c>
      <c r="BR888" t="s">
        <v>98</v>
      </c>
      <c r="BS888" t="s">
        <v>12208</v>
      </c>
      <c r="BT888" t="str">
        <f>HYPERLINK("https%3A%2F%2Fwww.webofscience.com%2Fwos%2Fwoscc%2Ffull-record%2FWOS:000177451600007","View Full Record in Web of Science")</f>
        <v>View Full Record in Web of Science</v>
      </c>
    </row>
    <row r="889" spans="1:72" x14ac:dyDescent="0.15">
      <c r="A889" t="s">
        <v>552</v>
      </c>
      <c r="B889" t="s">
        <v>12209</v>
      </c>
      <c r="C889" t="s">
        <v>74</v>
      </c>
      <c r="D889" t="s">
        <v>74</v>
      </c>
      <c r="E889" t="s">
        <v>74</v>
      </c>
      <c r="F889" t="s">
        <v>12209</v>
      </c>
      <c r="G889" t="s">
        <v>74</v>
      </c>
      <c r="H889" t="s">
        <v>74</v>
      </c>
      <c r="I889" t="s">
        <v>12210</v>
      </c>
      <c r="J889" t="s">
        <v>4431</v>
      </c>
      <c r="K889" t="s">
        <v>74</v>
      </c>
      <c r="L889" t="s">
        <v>74</v>
      </c>
      <c r="M889" t="s">
        <v>78</v>
      </c>
      <c r="N889" t="s">
        <v>775</v>
      </c>
      <c r="O889" t="s">
        <v>74</v>
      </c>
      <c r="P889" t="s">
        <v>74</v>
      </c>
      <c r="Q889" t="s">
        <v>74</v>
      </c>
      <c r="R889" t="s">
        <v>74</v>
      </c>
      <c r="S889" t="s">
        <v>74</v>
      </c>
      <c r="T889" t="s">
        <v>74</v>
      </c>
      <c r="U889" t="s">
        <v>12211</v>
      </c>
      <c r="V889" t="s">
        <v>12212</v>
      </c>
      <c r="W889" t="s">
        <v>238</v>
      </c>
      <c r="X889" t="s">
        <v>239</v>
      </c>
      <c r="Y889" t="s">
        <v>12213</v>
      </c>
      <c r="Z889" t="s">
        <v>74</v>
      </c>
      <c r="AA889" t="s">
        <v>490</v>
      </c>
      <c r="AB889" t="s">
        <v>491</v>
      </c>
      <c r="AC889" t="s">
        <v>74</v>
      </c>
      <c r="AD889" t="s">
        <v>74</v>
      </c>
      <c r="AE889" t="s">
        <v>74</v>
      </c>
      <c r="AF889" t="s">
        <v>74</v>
      </c>
      <c r="AG889">
        <v>25</v>
      </c>
      <c r="AH889">
        <v>107</v>
      </c>
      <c r="AI889">
        <v>114</v>
      </c>
      <c r="AJ889">
        <v>3</v>
      </c>
      <c r="AK889">
        <v>53</v>
      </c>
      <c r="AL889" t="s">
        <v>1259</v>
      </c>
      <c r="AM889" t="s">
        <v>561</v>
      </c>
      <c r="AN889" t="s">
        <v>1260</v>
      </c>
      <c r="AO889" t="s">
        <v>4435</v>
      </c>
      <c r="AP889" t="s">
        <v>74</v>
      </c>
      <c r="AQ889" t="s">
        <v>74</v>
      </c>
      <c r="AR889" t="s">
        <v>4436</v>
      </c>
      <c r="AS889" t="s">
        <v>4437</v>
      </c>
      <c r="AT889" t="s">
        <v>11370</v>
      </c>
      <c r="AU889">
        <v>2002</v>
      </c>
      <c r="AV889">
        <v>25</v>
      </c>
      <c r="AW889">
        <v>8</v>
      </c>
      <c r="AX889" t="s">
        <v>74</v>
      </c>
      <c r="AY889" t="s">
        <v>74</v>
      </c>
      <c r="AZ889" t="s">
        <v>74</v>
      </c>
      <c r="BA889" t="s">
        <v>74</v>
      </c>
      <c r="BB889">
        <v>612</v>
      </c>
      <c r="BC889">
        <v>617</v>
      </c>
      <c r="BD889" t="s">
        <v>74</v>
      </c>
      <c r="BE889" t="s">
        <v>12214</v>
      </c>
      <c r="BF889" t="str">
        <f>HYPERLINK("http://dx.doi.org/10.1007/s00300-002-0391-x","http://dx.doi.org/10.1007/s00300-002-0391-x")</f>
        <v>http://dx.doi.org/10.1007/s00300-002-0391-x</v>
      </c>
      <c r="BG889" t="s">
        <v>74</v>
      </c>
      <c r="BH889" t="s">
        <v>74</v>
      </c>
      <c r="BI889">
        <v>6</v>
      </c>
      <c r="BJ889" t="s">
        <v>4439</v>
      </c>
      <c r="BK889" t="s">
        <v>569</v>
      </c>
      <c r="BL889" t="s">
        <v>4440</v>
      </c>
      <c r="BM889" t="s">
        <v>12183</v>
      </c>
      <c r="BN889" t="s">
        <v>74</v>
      </c>
      <c r="BO889" t="s">
        <v>74</v>
      </c>
      <c r="BP889" t="s">
        <v>74</v>
      </c>
      <c r="BQ889" t="s">
        <v>74</v>
      </c>
      <c r="BR889" t="s">
        <v>98</v>
      </c>
      <c r="BS889" t="s">
        <v>12215</v>
      </c>
      <c r="BT889" t="str">
        <f>HYPERLINK("https%3A%2F%2Fwww.webofscience.com%2Fwos%2Fwoscc%2Ffull-record%2FWOS:000177451600009","View Full Record in Web of Science")</f>
        <v>View Full Record in Web of Science</v>
      </c>
    </row>
    <row r="890" spans="1:72" x14ac:dyDescent="0.15">
      <c r="A890" t="s">
        <v>552</v>
      </c>
      <c r="B890" t="s">
        <v>12216</v>
      </c>
      <c r="C890" t="s">
        <v>74</v>
      </c>
      <c r="D890" t="s">
        <v>74</v>
      </c>
      <c r="E890" t="s">
        <v>74</v>
      </c>
      <c r="F890" t="s">
        <v>12216</v>
      </c>
      <c r="G890" t="s">
        <v>74</v>
      </c>
      <c r="H890" t="s">
        <v>74</v>
      </c>
      <c r="I890" t="s">
        <v>12217</v>
      </c>
      <c r="J890" t="s">
        <v>4431</v>
      </c>
      <c r="K890" t="s">
        <v>74</v>
      </c>
      <c r="L890" t="s">
        <v>74</v>
      </c>
      <c r="M890" t="s">
        <v>78</v>
      </c>
      <c r="N890" t="s">
        <v>775</v>
      </c>
      <c r="O890" t="s">
        <v>74</v>
      </c>
      <c r="P890" t="s">
        <v>74</v>
      </c>
      <c r="Q890" t="s">
        <v>74</v>
      </c>
      <c r="R890" t="s">
        <v>74</v>
      </c>
      <c r="S890" t="s">
        <v>74</v>
      </c>
      <c r="T890" t="s">
        <v>74</v>
      </c>
      <c r="U890" t="s">
        <v>12218</v>
      </c>
      <c r="V890" t="s">
        <v>12219</v>
      </c>
      <c r="W890" t="s">
        <v>505</v>
      </c>
      <c r="X890" t="s">
        <v>506</v>
      </c>
      <c r="Y890" t="s">
        <v>12220</v>
      </c>
      <c r="Z890" t="s">
        <v>74</v>
      </c>
      <c r="AA890" t="s">
        <v>74</v>
      </c>
      <c r="AB890" t="s">
        <v>74</v>
      </c>
      <c r="AC890" t="s">
        <v>74</v>
      </c>
      <c r="AD890" t="s">
        <v>74</v>
      </c>
      <c r="AE890" t="s">
        <v>74</v>
      </c>
      <c r="AF890" t="s">
        <v>74</v>
      </c>
      <c r="AG890">
        <v>34</v>
      </c>
      <c r="AH890">
        <v>8</v>
      </c>
      <c r="AI890">
        <v>8</v>
      </c>
      <c r="AJ890">
        <v>0</v>
      </c>
      <c r="AK890">
        <v>6</v>
      </c>
      <c r="AL890" t="s">
        <v>1259</v>
      </c>
      <c r="AM890" t="s">
        <v>561</v>
      </c>
      <c r="AN890" t="s">
        <v>1260</v>
      </c>
      <c r="AO890" t="s">
        <v>4435</v>
      </c>
      <c r="AP890" t="s">
        <v>74</v>
      </c>
      <c r="AQ890" t="s">
        <v>74</v>
      </c>
      <c r="AR890" t="s">
        <v>4436</v>
      </c>
      <c r="AS890" t="s">
        <v>4437</v>
      </c>
      <c r="AT890" t="s">
        <v>11370</v>
      </c>
      <c r="AU890">
        <v>2002</v>
      </c>
      <c r="AV890">
        <v>25</v>
      </c>
      <c r="AW890">
        <v>8</v>
      </c>
      <c r="AX890" t="s">
        <v>74</v>
      </c>
      <c r="AY890" t="s">
        <v>74</v>
      </c>
      <c r="AZ890" t="s">
        <v>74</v>
      </c>
      <c r="BA890" t="s">
        <v>74</v>
      </c>
      <c r="BB890">
        <v>618</v>
      </c>
      <c r="BC890">
        <v>623</v>
      </c>
      <c r="BD890" t="s">
        <v>74</v>
      </c>
      <c r="BE890" t="s">
        <v>12221</v>
      </c>
      <c r="BF890" t="str">
        <f>HYPERLINK("http://dx.doi.org/10.1007/s00300-002-0401-z","http://dx.doi.org/10.1007/s00300-002-0401-z")</f>
        <v>http://dx.doi.org/10.1007/s00300-002-0401-z</v>
      </c>
      <c r="BG890" t="s">
        <v>74</v>
      </c>
      <c r="BH890" t="s">
        <v>74</v>
      </c>
      <c r="BI890">
        <v>6</v>
      </c>
      <c r="BJ890" t="s">
        <v>4439</v>
      </c>
      <c r="BK890" t="s">
        <v>569</v>
      </c>
      <c r="BL890" t="s">
        <v>4440</v>
      </c>
      <c r="BM890" t="s">
        <v>12183</v>
      </c>
      <c r="BN890" t="s">
        <v>74</v>
      </c>
      <c r="BO890" t="s">
        <v>74</v>
      </c>
      <c r="BP890" t="s">
        <v>74</v>
      </c>
      <c r="BQ890" t="s">
        <v>74</v>
      </c>
      <c r="BR890" t="s">
        <v>98</v>
      </c>
      <c r="BS890" t="s">
        <v>12222</v>
      </c>
      <c r="BT890" t="str">
        <f>HYPERLINK("https%3A%2F%2Fwww.webofscience.com%2Fwos%2Fwoscc%2Ffull-record%2FWOS:000177451600010","View Full Record in Web of Science")</f>
        <v>View Full Record in Web of Science</v>
      </c>
    </row>
    <row r="891" spans="1:72" x14ac:dyDescent="0.15">
      <c r="A891" t="s">
        <v>552</v>
      </c>
      <c r="B891" t="s">
        <v>12223</v>
      </c>
      <c r="C891" t="s">
        <v>74</v>
      </c>
      <c r="D891" t="s">
        <v>74</v>
      </c>
      <c r="E891" t="s">
        <v>74</v>
      </c>
      <c r="F891" t="s">
        <v>12223</v>
      </c>
      <c r="G891" t="s">
        <v>74</v>
      </c>
      <c r="H891" t="s">
        <v>74</v>
      </c>
      <c r="I891" t="s">
        <v>12224</v>
      </c>
      <c r="J891" t="s">
        <v>4431</v>
      </c>
      <c r="K891" t="s">
        <v>74</v>
      </c>
      <c r="L891" t="s">
        <v>74</v>
      </c>
      <c r="M891" t="s">
        <v>78</v>
      </c>
      <c r="N891" t="s">
        <v>775</v>
      </c>
      <c r="O891" t="s">
        <v>74</v>
      </c>
      <c r="P891" t="s">
        <v>74</v>
      </c>
      <c r="Q891" t="s">
        <v>74</v>
      </c>
      <c r="R891" t="s">
        <v>74</v>
      </c>
      <c r="S891" t="s">
        <v>74</v>
      </c>
      <c r="T891" t="s">
        <v>74</v>
      </c>
      <c r="U891" t="s">
        <v>12225</v>
      </c>
      <c r="V891" t="s">
        <v>12226</v>
      </c>
      <c r="W891" t="s">
        <v>12227</v>
      </c>
      <c r="X891" t="s">
        <v>12228</v>
      </c>
      <c r="Y891" t="s">
        <v>12229</v>
      </c>
      <c r="Z891" t="s">
        <v>74</v>
      </c>
      <c r="AA891" t="s">
        <v>74</v>
      </c>
      <c r="AB891" t="s">
        <v>12230</v>
      </c>
      <c r="AC891" t="s">
        <v>74</v>
      </c>
      <c r="AD891" t="s">
        <v>74</v>
      </c>
      <c r="AE891" t="s">
        <v>74</v>
      </c>
      <c r="AF891" t="s">
        <v>74</v>
      </c>
      <c r="AG891">
        <v>15</v>
      </c>
      <c r="AH891">
        <v>15</v>
      </c>
      <c r="AI891">
        <v>16</v>
      </c>
      <c r="AJ891">
        <v>0</v>
      </c>
      <c r="AK891">
        <v>6</v>
      </c>
      <c r="AL891" t="s">
        <v>1259</v>
      </c>
      <c r="AM891" t="s">
        <v>561</v>
      </c>
      <c r="AN891" t="s">
        <v>1260</v>
      </c>
      <c r="AO891" t="s">
        <v>4435</v>
      </c>
      <c r="AP891" t="s">
        <v>74</v>
      </c>
      <c r="AQ891" t="s">
        <v>74</v>
      </c>
      <c r="AR891" t="s">
        <v>4436</v>
      </c>
      <c r="AS891" t="s">
        <v>4437</v>
      </c>
      <c r="AT891" t="s">
        <v>11370</v>
      </c>
      <c r="AU891">
        <v>2002</v>
      </c>
      <c r="AV891">
        <v>25</v>
      </c>
      <c r="AW891">
        <v>8</v>
      </c>
      <c r="AX891" t="s">
        <v>74</v>
      </c>
      <c r="AY891" t="s">
        <v>74</v>
      </c>
      <c r="AZ891" t="s">
        <v>74</v>
      </c>
      <c r="BA891" t="s">
        <v>74</v>
      </c>
      <c r="BB891">
        <v>624</v>
      </c>
      <c r="BC891">
        <v>628</v>
      </c>
      <c r="BD891" t="s">
        <v>74</v>
      </c>
      <c r="BE891" t="s">
        <v>12231</v>
      </c>
      <c r="BF891" t="str">
        <f>HYPERLINK("http://dx.doi.org/10.1007/s00300-002-0373-z","http://dx.doi.org/10.1007/s00300-002-0373-z")</f>
        <v>http://dx.doi.org/10.1007/s00300-002-0373-z</v>
      </c>
      <c r="BG891" t="s">
        <v>74</v>
      </c>
      <c r="BH891" t="s">
        <v>74</v>
      </c>
      <c r="BI891">
        <v>5</v>
      </c>
      <c r="BJ891" t="s">
        <v>4439</v>
      </c>
      <c r="BK891" t="s">
        <v>569</v>
      </c>
      <c r="BL891" t="s">
        <v>4440</v>
      </c>
      <c r="BM891" t="s">
        <v>12183</v>
      </c>
      <c r="BN891" t="s">
        <v>74</v>
      </c>
      <c r="BO891" t="s">
        <v>74</v>
      </c>
      <c r="BP891" t="s">
        <v>74</v>
      </c>
      <c r="BQ891" t="s">
        <v>74</v>
      </c>
      <c r="BR891" t="s">
        <v>98</v>
      </c>
      <c r="BS891" t="s">
        <v>12232</v>
      </c>
      <c r="BT891" t="str">
        <f>HYPERLINK("https%3A%2F%2Fwww.webofscience.com%2Fwos%2Fwoscc%2Ffull-record%2FWOS:000177451600011","View Full Record in Web of Science")</f>
        <v>View Full Record in Web of Science</v>
      </c>
    </row>
    <row r="892" spans="1:72" x14ac:dyDescent="0.15">
      <c r="A892" t="s">
        <v>552</v>
      </c>
      <c r="B892" t="s">
        <v>12233</v>
      </c>
      <c r="C892" t="s">
        <v>74</v>
      </c>
      <c r="D892" t="s">
        <v>74</v>
      </c>
      <c r="E892" t="s">
        <v>74</v>
      </c>
      <c r="F892" t="s">
        <v>12233</v>
      </c>
      <c r="G892" t="s">
        <v>74</v>
      </c>
      <c r="H892" t="s">
        <v>74</v>
      </c>
      <c r="I892" t="s">
        <v>12234</v>
      </c>
      <c r="J892" t="s">
        <v>12235</v>
      </c>
      <c r="K892" t="s">
        <v>74</v>
      </c>
      <c r="L892" t="s">
        <v>74</v>
      </c>
      <c r="M892" t="s">
        <v>78</v>
      </c>
      <c r="N892" t="s">
        <v>775</v>
      </c>
      <c r="O892" t="s">
        <v>74</v>
      </c>
      <c r="P892" t="s">
        <v>74</v>
      </c>
      <c r="Q892" t="s">
        <v>74</v>
      </c>
      <c r="R892" t="s">
        <v>74</v>
      </c>
      <c r="S892" t="s">
        <v>74</v>
      </c>
      <c r="T892" t="s">
        <v>12236</v>
      </c>
      <c r="U892" t="s">
        <v>12237</v>
      </c>
      <c r="V892" t="s">
        <v>12238</v>
      </c>
      <c r="W892" t="s">
        <v>12239</v>
      </c>
      <c r="X892" t="s">
        <v>12240</v>
      </c>
      <c r="Y892" t="s">
        <v>12241</v>
      </c>
      <c r="Z892" t="s">
        <v>12242</v>
      </c>
      <c r="AA892" t="s">
        <v>74</v>
      </c>
      <c r="AB892" t="s">
        <v>12243</v>
      </c>
      <c r="AC892" t="s">
        <v>74</v>
      </c>
      <c r="AD892" t="s">
        <v>74</v>
      </c>
      <c r="AE892" t="s">
        <v>74</v>
      </c>
      <c r="AF892" t="s">
        <v>74</v>
      </c>
      <c r="AG892">
        <v>25</v>
      </c>
      <c r="AH892">
        <v>10</v>
      </c>
      <c r="AI892">
        <v>11</v>
      </c>
      <c r="AJ892">
        <v>0</v>
      </c>
      <c r="AK892">
        <v>2</v>
      </c>
      <c r="AL892" t="s">
        <v>1230</v>
      </c>
      <c r="AM892" t="s">
        <v>1210</v>
      </c>
      <c r="AN892" t="s">
        <v>1211</v>
      </c>
      <c r="AO892" t="s">
        <v>12244</v>
      </c>
      <c r="AP892" t="s">
        <v>12245</v>
      </c>
      <c r="AQ892" t="s">
        <v>74</v>
      </c>
      <c r="AR892" t="s">
        <v>12246</v>
      </c>
      <c r="AS892" t="s">
        <v>12247</v>
      </c>
      <c r="AT892" t="s">
        <v>11370</v>
      </c>
      <c r="AU892">
        <v>2002</v>
      </c>
      <c r="AV892">
        <v>18</v>
      </c>
      <c r="AW892">
        <v>6</v>
      </c>
      <c r="AX892" t="s">
        <v>74</v>
      </c>
      <c r="AY892" t="s">
        <v>74</v>
      </c>
      <c r="AZ892" t="s">
        <v>74</v>
      </c>
      <c r="BA892" t="s">
        <v>74</v>
      </c>
      <c r="BB892">
        <v>569</v>
      </c>
      <c r="BC892">
        <v>573</v>
      </c>
      <c r="BD892" t="s">
        <v>74</v>
      </c>
      <c r="BE892" t="s">
        <v>12248</v>
      </c>
      <c r="BF892" t="str">
        <f>HYPERLINK("http://dx.doi.org/10.1023/A:1016337529488","http://dx.doi.org/10.1023/A:1016337529488")</f>
        <v>http://dx.doi.org/10.1023/A:1016337529488</v>
      </c>
      <c r="BG892" t="s">
        <v>74</v>
      </c>
      <c r="BH892" t="s">
        <v>74</v>
      </c>
      <c r="BI892">
        <v>5</v>
      </c>
      <c r="BJ892" t="s">
        <v>12249</v>
      </c>
      <c r="BK892" t="s">
        <v>569</v>
      </c>
      <c r="BL892" t="s">
        <v>12249</v>
      </c>
      <c r="BM892" t="s">
        <v>12250</v>
      </c>
      <c r="BN892" t="s">
        <v>74</v>
      </c>
      <c r="BO892" t="s">
        <v>74</v>
      </c>
      <c r="BP892" t="s">
        <v>74</v>
      </c>
      <c r="BQ892" t="s">
        <v>74</v>
      </c>
      <c r="BR892" t="s">
        <v>98</v>
      </c>
      <c r="BS892" t="s">
        <v>12251</v>
      </c>
      <c r="BT892" t="str">
        <f>HYPERLINK("https%3A%2F%2Fwww.webofscience.com%2Fwos%2Fwoscc%2Ffull-record%2FWOS:000176821100012","View Full Record in Web of Science")</f>
        <v>View Full Record in Web of Science</v>
      </c>
    </row>
    <row r="893" spans="1:72" x14ac:dyDescent="0.15">
      <c r="A893" t="s">
        <v>552</v>
      </c>
      <c r="B893" t="s">
        <v>12252</v>
      </c>
      <c r="C893" t="s">
        <v>74</v>
      </c>
      <c r="D893" t="s">
        <v>74</v>
      </c>
      <c r="E893" t="s">
        <v>74</v>
      </c>
      <c r="F893" t="s">
        <v>12252</v>
      </c>
      <c r="G893" t="s">
        <v>74</v>
      </c>
      <c r="H893" t="s">
        <v>74</v>
      </c>
      <c r="I893" t="s">
        <v>12253</v>
      </c>
      <c r="J893" t="s">
        <v>5712</v>
      </c>
      <c r="K893" t="s">
        <v>74</v>
      </c>
      <c r="L893" t="s">
        <v>74</v>
      </c>
      <c r="M893" t="s">
        <v>78</v>
      </c>
      <c r="N893" t="s">
        <v>576</v>
      </c>
      <c r="O893" t="s">
        <v>12254</v>
      </c>
      <c r="P893" t="s">
        <v>12255</v>
      </c>
      <c r="Q893" t="s">
        <v>12256</v>
      </c>
      <c r="R893" t="s">
        <v>74</v>
      </c>
      <c r="S893" t="s">
        <v>74</v>
      </c>
      <c r="T893" t="s">
        <v>12257</v>
      </c>
      <c r="U893" t="s">
        <v>12258</v>
      </c>
      <c r="V893" t="s">
        <v>12259</v>
      </c>
      <c r="W893" t="s">
        <v>12260</v>
      </c>
      <c r="X893" t="s">
        <v>12261</v>
      </c>
      <c r="Y893" t="s">
        <v>12262</v>
      </c>
      <c r="Z893" t="s">
        <v>12263</v>
      </c>
      <c r="AA893" t="s">
        <v>12264</v>
      </c>
      <c r="AB893" t="s">
        <v>12265</v>
      </c>
      <c r="AC893" t="s">
        <v>74</v>
      </c>
      <c r="AD893" t="s">
        <v>74</v>
      </c>
      <c r="AE893" t="s">
        <v>74</v>
      </c>
      <c r="AF893" t="s">
        <v>74</v>
      </c>
      <c r="AG893">
        <v>20</v>
      </c>
      <c r="AH893">
        <v>79</v>
      </c>
      <c r="AI893">
        <v>85</v>
      </c>
      <c r="AJ893">
        <v>1</v>
      </c>
      <c r="AK893">
        <v>23</v>
      </c>
      <c r="AL893" t="s">
        <v>806</v>
      </c>
      <c r="AM893" t="s">
        <v>807</v>
      </c>
      <c r="AN893" t="s">
        <v>808</v>
      </c>
      <c r="AO893" t="s">
        <v>5722</v>
      </c>
      <c r="AP893" t="s">
        <v>12266</v>
      </c>
      <c r="AQ893" t="s">
        <v>74</v>
      </c>
      <c r="AR893" t="s">
        <v>5723</v>
      </c>
      <c r="AS893" t="s">
        <v>5724</v>
      </c>
      <c r="AT893" t="s">
        <v>12267</v>
      </c>
      <c r="AU893">
        <v>2002</v>
      </c>
      <c r="AV893">
        <v>57</v>
      </c>
      <c r="AW893">
        <v>7</v>
      </c>
      <c r="AX893" t="s">
        <v>74</v>
      </c>
      <c r="AY893" t="s">
        <v>74</v>
      </c>
      <c r="AZ893" t="s">
        <v>74</v>
      </c>
      <c r="BA893" t="s">
        <v>74</v>
      </c>
      <c r="BB893">
        <v>1203</v>
      </c>
      <c r="BC893">
        <v>1218</v>
      </c>
      <c r="BD893" t="s">
        <v>12268</v>
      </c>
      <c r="BE893" t="s">
        <v>12269</v>
      </c>
      <c r="BF893" t="str">
        <f>HYPERLINK("http://dx.doi.org/10.1016/S0584-8547(02)00055-1","http://dx.doi.org/10.1016/S0584-8547(02)00055-1")</f>
        <v>http://dx.doi.org/10.1016/S0584-8547(02)00055-1</v>
      </c>
      <c r="BG893" t="s">
        <v>74</v>
      </c>
      <c r="BH893" t="s">
        <v>74</v>
      </c>
      <c r="BI893">
        <v>16</v>
      </c>
      <c r="BJ893" t="s">
        <v>5727</v>
      </c>
      <c r="BK893" t="s">
        <v>605</v>
      </c>
      <c r="BL893" t="s">
        <v>5727</v>
      </c>
      <c r="BM893" t="s">
        <v>12270</v>
      </c>
      <c r="BN893" t="s">
        <v>74</v>
      </c>
      <c r="BO893" t="s">
        <v>74</v>
      </c>
      <c r="BP893" t="s">
        <v>74</v>
      </c>
      <c r="BQ893" t="s">
        <v>74</v>
      </c>
      <c r="BR893" t="s">
        <v>98</v>
      </c>
      <c r="BS893" t="s">
        <v>12271</v>
      </c>
      <c r="BT893" t="str">
        <f>HYPERLINK("https%3A%2F%2Fwww.webofscience.com%2Fwos%2Fwoscc%2Ffull-record%2FWOS:000178117700010","View Full Record in Web of Science")</f>
        <v>View Full Record in Web of Science</v>
      </c>
    </row>
    <row r="894" spans="1:72" x14ac:dyDescent="0.15">
      <c r="A894" t="s">
        <v>552</v>
      </c>
      <c r="B894" t="s">
        <v>12272</v>
      </c>
      <c r="C894" t="s">
        <v>74</v>
      </c>
      <c r="D894" t="s">
        <v>74</v>
      </c>
      <c r="E894" t="s">
        <v>74</v>
      </c>
      <c r="F894" t="s">
        <v>12272</v>
      </c>
      <c r="G894" t="s">
        <v>74</v>
      </c>
      <c r="H894" t="s">
        <v>74</v>
      </c>
      <c r="I894" t="s">
        <v>12273</v>
      </c>
      <c r="J894" t="s">
        <v>6799</v>
      </c>
      <c r="K894" t="s">
        <v>74</v>
      </c>
      <c r="L894" t="s">
        <v>74</v>
      </c>
      <c r="M894" t="s">
        <v>78</v>
      </c>
      <c r="N894" t="s">
        <v>775</v>
      </c>
      <c r="O894" t="s">
        <v>74</v>
      </c>
      <c r="P894" t="s">
        <v>74</v>
      </c>
      <c r="Q894" t="s">
        <v>74</v>
      </c>
      <c r="R894" t="s">
        <v>74</v>
      </c>
      <c r="S894" t="s">
        <v>74</v>
      </c>
      <c r="T894" t="s">
        <v>12274</v>
      </c>
      <c r="U894" t="s">
        <v>12275</v>
      </c>
      <c r="V894" t="s">
        <v>12276</v>
      </c>
      <c r="W894" t="s">
        <v>12277</v>
      </c>
      <c r="X894" t="s">
        <v>1694</v>
      </c>
      <c r="Y894" t="s">
        <v>12278</v>
      </c>
      <c r="Z894" t="s">
        <v>12279</v>
      </c>
      <c r="AA894" t="s">
        <v>74</v>
      </c>
      <c r="AB894" t="s">
        <v>74</v>
      </c>
      <c r="AC894" t="s">
        <v>74</v>
      </c>
      <c r="AD894" t="s">
        <v>74</v>
      </c>
      <c r="AE894" t="s">
        <v>74</v>
      </c>
      <c r="AF894" t="s">
        <v>74</v>
      </c>
      <c r="AG894">
        <v>49</v>
      </c>
      <c r="AH894">
        <v>126</v>
      </c>
      <c r="AI894">
        <v>136</v>
      </c>
      <c r="AJ894">
        <v>0</v>
      </c>
      <c r="AK894">
        <v>34</v>
      </c>
      <c r="AL894" t="s">
        <v>1860</v>
      </c>
      <c r="AM894" t="s">
        <v>1861</v>
      </c>
      <c r="AN894" t="s">
        <v>1862</v>
      </c>
      <c r="AO894" t="s">
        <v>6808</v>
      </c>
      <c r="AP894" t="s">
        <v>6825</v>
      </c>
      <c r="AQ894" t="s">
        <v>74</v>
      </c>
      <c r="AR894" t="s">
        <v>6809</v>
      </c>
      <c r="AS894" t="s">
        <v>6810</v>
      </c>
      <c r="AT894" t="s">
        <v>12280</v>
      </c>
      <c r="AU894">
        <v>2002</v>
      </c>
      <c r="AV894">
        <v>201</v>
      </c>
      <c r="AW894">
        <v>2</v>
      </c>
      <c r="AX894" t="s">
        <v>74</v>
      </c>
      <c r="AY894" t="s">
        <v>74</v>
      </c>
      <c r="AZ894" t="s">
        <v>74</v>
      </c>
      <c r="BA894" t="s">
        <v>74</v>
      </c>
      <c r="BB894">
        <v>383</v>
      </c>
      <c r="BC894">
        <v>396</v>
      </c>
      <c r="BD894" t="s">
        <v>12281</v>
      </c>
      <c r="BE894" t="s">
        <v>12282</v>
      </c>
      <c r="BF894" t="str">
        <f>HYPERLINK("http://dx.doi.org/10.1016/S0012-821X(02)00708-2","http://dx.doi.org/10.1016/S0012-821X(02)00708-2")</f>
        <v>http://dx.doi.org/10.1016/S0012-821X(02)00708-2</v>
      </c>
      <c r="BG894" t="s">
        <v>74</v>
      </c>
      <c r="BH894" t="s">
        <v>74</v>
      </c>
      <c r="BI894">
        <v>14</v>
      </c>
      <c r="BJ894" t="s">
        <v>2068</v>
      </c>
      <c r="BK894" t="s">
        <v>569</v>
      </c>
      <c r="BL894" t="s">
        <v>2068</v>
      </c>
      <c r="BM894" t="s">
        <v>12283</v>
      </c>
      <c r="BN894" t="s">
        <v>74</v>
      </c>
      <c r="BO894" t="s">
        <v>74</v>
      </c>
      <c r="BP894" t="s">
        <v>74</v>
      </c>
      <c r="BQ894" t="s">
        <v>74</v>
      </c>
      <c r="BR894" t="s">
        <v>98</v>
      </c>
      <c r="BS894" t="s">
        <v>12284</v>
      </c>
      <c r="BT894" t="str">
        <f>HYPERLINK("https%3A%2F%2Fwww.webofscience.com%2Fwos%2Fwoscc%2Ffull-record%2FWOS:000177306800009","View Full Record in Web of Science")</f>
        <v>View Full Record in Web of Science</v>
      </c>
    </row>
    <row r="895" spans="1:72" x14ac:dyDescent="0.15">
      <c r="A895" t="s">
        <v>552</v>
      </c>
      <c r="B895" t="s">
        <v>12285</v>
      </c>
      <c r="C895" t="s">
        <v>74</v>
      </c>
      <c r="D895" t="s">
        <v>74</v>
      </c>
      <c r="E895" t="s">
        <v>74</v>
      </c>
      <c r="F895" t="s">
        <v>12285</v>
      </c>
      <c r="G895" t="s">
        <v>74</v>
      </c>
      <c r="H895" t="s">
        <v>74</v>
      </c>
      <c r="I895" t="s">
        <v>12286</v>
      </c>
      <c r="J895" t="s">
        <v>12287</v>
      </c>
      <c r="K895" t="s">
        <v>74</v>
      </c>
      <c r="L895" t="s">
        <v>74</v>
      </c>
      <c r="M895" t="s">
        <v>78</v>
      </c>
      <c r="N895" t="s">
        <v>775</v>
      </c>
      <c r="O895" t="s">
        <v>74</v>
      </c>
      <c r="P895" t="s">
        <v>74</v>
      </c>
      <c r="Q895" t="s">
        <v>74</v>
      </c>
      <c r="R895" t="s">
        <v>74</v>
      </c>
      <c r="S895" t="s">
        <v>74</v>
      </c>
      <c r="T895" t="s">
        <v>12288</v>
      </c>
      <c r="U895" t="s">
        <v>12289</v>
      </c>
      <c r="V895" t="s">
        <v>12290</v>
      </c>
      <c r="W895" t="s">
        <v>12291</v>
      </c>
      <c r="X895" t="s">
        <v>12292</v>
      </c>
      <c r="Y895" t="s">
        <v>12293</v>
      </c>
      <c r="Z895" t="s">
        <v>12294</v>
      </c>
      <c r="AA895" t="s">
        <v>74</v>
      </c>
      <c r="AB895" t="s">
        <v>74</v>
      </c>
      <c r="AC895" t="s">
        <v>74</v>
      </c>
      <c r="AD895" t="s">
        <v>74</v>
      </c>
      <c r="AE895" t="s">
        <v>74</v>
      </c>
      <c r="AF895" t="s">
        <v>74</v>
      </c>
      <c r="AG895">
        <v>43</v>
      </c>
      <c r="AH895">
        <v>6</v>
      </c>
      <c r="AI895">
        <v>6</v>
      </c>
      <c r="AJ895">
        <v>0</v>
      </c>
      <c r="AK895">
        <v>4</v>
      </c>
      <c r="AL895" t="s">
        <v>3155</v>
      </c>
      <c r="AM895" t="s">
        <v>1861</v>
      </c>
      <c r="AN895" t="s">
        <v>3156</v>
      </c>
      <c r="AO895" t="s">
        <v>12295</v>
      </c>
      <c r="AP895" t="s">
        <v>12296</v>
      </c>
      <c r="AQ895" t="s">
        <v>74</v>
      </c>
      <c r="AR895" t="s">
        <v>12297</v>
      </c>
      <c r="AS895" t="s">
        <v>12298</v>
      </c>
      <c r="AT895" t="s">
        <v>12280</v>
      </c>
      <c r="AU895">
        <v>2002</v>
      </c>
      <c r="AV895">
        <v>120</v>
      </c>
      <c r="AW895" t="s">
        <v>1424</v>
      </c>
      <c r="AX895" t="s">
        <v>74</v>
      </c>
      <c r="AY895" t="s">
        <v>74</v>
      </c>
      <c r="AZ895" t="s">
        <v>74</v>
      </c>
      <c r="BA895" t="s">
        <v>74</v>
      </c>
      <c r="BB895">
        <v>263</v>
      </c>
      <c r="BC895">
        <v>284</v>
      </c>
      <c r="BD895" t="s">
        <v>12299</v>
      </c>
      <c r="BE895" t="s">
        <v>12300</v>
      </c>
      <c r="BF895" t="str">
        <f>HYPERLINK("http://dx.doi.org/10.1016/S0034-6667(02)00080-5","http://dx.doi.org/10.1016/S0034-6667(02)00080-5")</f>
        <v>http://dx.doi.org/10.1016/S0034-6667(02)00080-5</v>
      </c>
      <c r="BG895" t="s">
        <v>74</v>
      </c>
      <c r="BH895" t="s">
        <v>74</v>
      </c>
      <c r="BI895">
        <v>22</v>
      </c>
      <c r="BJ895" t="s">
        <v>12301</v>
      </c>
      <c r="BK895" t="s">
        <v>569</v>
      </c>
      <c r="BL895" t="s">
        <v>12301</v>
      </c>
      <c r="BM895" t="s">
        <v>12302</v>
      </c>
      <c r="BN895" t="s">
        <v>74</v>
      </c>
      <c r="BO895" t="s">
        <v>74</v>
      </c>
      <c r="BP895" t="s">
        <v>74</v>
      </c>
      <c r="BQ895" t="s">
        <v>74</v>
      </c>
      <c r="BR895" t="s">
        <v>98</v>
      </c>
      <c r="BS895" t="s">
        <v>12303</v>
      </c>
      <c r="BT895" t="str">
        <f>HYPERLINK("https%3A%2F%2Fwww.webofscience.com%2Fwos%2Fwoscc%2Ffull-record%2FWOS:000178023700006","View Full Record in Web of Science")</f>
        <v>View Full Record in Web of Science</v>
      </c>
    </row>
    <row r="896" spans="1:72" x14ac:dyDescent="0.15">
      <c r="A896" t="s">
        <v>552</v>
      </c>
      <c r="B896" t="s">
        <v>362</v>
      </c>
      <c r="C896" t="s">
        <v>74</v>
      </c>
      <c r="D896" t="s">
        <v>74</v>
      </c>
      <c r="E896" t="s">
        <v>74</v>
      </c>
      <c r="F896" t="s">
        <v>362</v>
      </c>
      <c r="G896" t="s">
        <v>74</v>
      </c>
      <c r="H896" t="s">
        <v>74</v>
      </c>
      <c r="I896" t="s">
        <v>12304</v>
      </c>
      <c r="J896" t="s">
        <v>12305</v>
      </c>
      <c r="K896" t="s">
        <v>74</v>
      </c>
      <c r="L896" t="s">
        <v>74</v>
      </c>
      <c r="M896" t="s">
        <v>78</v>
      </c>
      <c r="N896" t="s">
        <v>576</v>
      </c>
      <c r="O896" t="s">
        <v>12306</v>
      </c>
      <c r="P896" t="s">
        <v>12307</v>
      </c>
      <c r="Q896" t="s">
        <v>12308</v>
      </c>
      <c r="R896" t="s">
        <v>74</v>
      </c>
      <c r="S896" t="s">
        <v>8466</v>
      </c>
      <c r="T896" t="s">
        <v>12309</v>
      </c>
      <c r="U896" t="s">
        <v>12310</v>
      </c>
      <c r="V896" t="s">
        <v>12311</v>
      </c>
      <c r="W896" t="s">
        <v>367</v>
      </c>
      <c r="X896" t="s">
        <v>368</v>
      </c>
      <c r="Y896" t="s">
        <v>12312</v>
      </c>
      <c r="Z896" t="s">
        <v>12313</v>
      </c>
      <c r="AA896" t="s">
        <v>74</v>
      </c>
      <c r="AB896" t="s">
        <v>74</v>
      </c>
      <c r="AC896" t="s">
        <v>74</v>
      </c>
      <c r="AD896" t="s">
        <v>74</v>
      </c>
      <c r="AE896" t="s">
        <v>74</v>
      </c>
      <c r="AF896" t="s">
        <v>74</v>
      </c>
      <c r="AG896">
        <v>61</v>
      </c>
      <c r="AH896">
        <v>64</v>
      </c>
      <c r="AI896">
        <v>71</v>
      </c>
      <c r="AJ896">
        <v>2</v>
      </c>
      <c r="AK896">
        <v>49</v>
      </c>
      <c r="AL896" t="s">
        <v>8466</v>
      </c>
      <c r="AM896" t="s">
        <v>2113</v>
      </c>
      <c r="AN896" t="s">
        <v>8467</v>
      </c>
      <c r="AO896" t="s">
        <v>12314</v>
      </c>
      <c r="AP896" t="s">
        <v>12315</v>
      </c>
      <c r="AQ896" t="s">
        <v>74</v>
      </c>
      <c r="AR896" t="s">
        <v>12316</v>
      </c>
      <c r="AS896" t="s">
        <v>12317</v>
      </c>
      <c r="AT896" t="s">
        <v>12318</v>
      </c>
      <c r="AU896">
        <v>2002</v>
      </c>
      <c r="AV896">
        <v>357</v>
      </c>
      <c r="AW896">
        <v>1423</v>
      </c>
      <c r="AX896" t="s">
        <v>74</v>
      </c>
      <c r="AY896" t="s">
        <v>74</v>
      </c>
      <c r="AZ896" t="s">
        <v>74</v>
      </c>
      <c r="BA896" t="s">
        <v>74</v>
      </c>
      <c r="BB896">
        <v>863</v>
      </c>
      <c r="BC896">
        <v>869</v>
      </c>
      <c r="BD896" t="s">
        <v>74</v>
      </c>
      <c r="BE896" t="s">
        <v>12319</v>
      </c>
      <c r="BF896" t="str">
        <f>HYPERLINK("http://dx.doi.org/10.1098/rstb.2002.1075","http://dx.doi.org/10.1098/rstb.2002.1075")</f>
        <v>http://dx.doi.org/10.1098/rstb.2002.1075</v>
      </c>
      <c r="BG896" t="s">
        <v>74</v>
      </c>
      <c r="BH896" t="s">
        <v>74</v>
      </c>
      <c r="BI896">
        <v>7</v>
      </c>
      <c r="BJ896" t="s">
        <v>948</v>
      </c>
      <c r="BK896" t="s">
        <v>605</v>
      </c>
      <c r="BL896" t="s">
        <v>949</v>
      </c>
      <c r="BM896" t="s">
        <v>12320</v>
      </c>
      <c r="BN896">
        <v>12171649</v>
      </c>
      <c r="BO896" t="s">
        <v>794</v>
      </c>
      <c r="BP896" t="s">
        <v>74</v>
      </c>
      <c r="BQ896" t="s">
        <v>74</v>
      </c>
      <c r="BR896" t="s">
        <v>98</v>
      </c>
      <c r="BS896" t="s">
        <v>12321</v>
      </c>
      <c r="BT896" t="str">
        <f>HYPERLINK("https%3A%2F%2Fwww.webofscience.com%2Fwos%2Fwoscc%2Ffull-record%2FWOS:000177132200006","View Full Record in Web of Science")</f>
        <v>View Full Record in Web of Science</v>
      </c>
    </row>
    <row r="897" spans="1:72" x14ac:dyDescent="0.15">
      <c r="A897" t="s">
        <v>552</v>
      </c>
      <c r="B897" t="s">
        <v>12322</v>
      </c>
      <c r="C897" t="s">
        <v>74</v>
      </c>
      <c r="D897" t="s">
        <v>74</v>
      </c>
      <c r="E897" t="s">
        <v>74</v>
      </c>
      <c r="F897" t="s">
        <v>12322</v>
      </c>
      <c r="G897" t="s">
        <v>74</v>
      </c>
      <c r="H897" t="s">
        <v>74</v>
      </c>
      <c r="I897" t="s">
        <v>12323</v>
      </c>
      <c r="J897" t="s">
        <v>12305</v>
      </c>
      <c r="K897" t="s">
        <v>74</v>
      </c>
      <c r="L897" t="s">
        <v>74</v>
      </c>
      <c r="M897" t="s">
        <v>78</v>
      </c>
      <c r="N897" t="s">
        <v>576</v>
      </c>
      <c r="O897" t="s">
        <v>12306</v>
      </c>
      <c r="P897" t="s">
        <v>12307</v>
      </c>
      <c r="Q897" t="s">
        <v>12308</v>
      </c>
      <c r="R897" t="s">
        <v>74</v>
      </c>
      <c r="S897" t="s">
        <v>8466</v>
      </c>
      <c r="T897" t="s">
        <v>12324</v>
      </c>
      <c r="U897" t="s">
        <v>12325</v>
      </c>
      <c r="V897" t="s">
        <v>12326</v>
      </c>
      <c r="W897" t="s">
        <v>12327</v>
      </c>
      <c r="X897" t="s">
        <v>6859</v>
      </c>
      <c r="Y897" t="s">
        <v>12328</v>
      </c>
      <c r="Z897" t="s">
        <v>9625</v>
      </c>
      <c r="AA897" t="s">
        <v>12329</v>
      </c>
      <c r="AB897" t="s">
        <v>12330</v>
      </c>
      <c r="AC897" t="s">
        <v>74</v>
      </c>
      <c r="AD897" t="s">
        <v>74</v>
      </c>
      <c r="AE897" t="s">
        <v>74</v>
      </c>
      <c r="AF897" t="s">
        <v>74</v>
      </c>
      <c r="AG897">
        <v>51</v>
      </c>
      <c r="AH897">
        <v>200</v>
      </c>
      <c r="AI897">
        <v>219</v>
      </c>
      <c r="AJ897">
        <v>6</v>
      </c>
      <c r="AK897">
        <v>62</v>
      </c>
      <c r="AL897" t="s">
        <v>8466</v>
      </c>
      <c r="AM897" t="s">
        <v>2113</v>
      </c>
      <c r="AN897" t="s">
        <v>8467</v>
      </c>
      <c r="AO897" t="s">
        <v>12314</v>
      </c>
      <c r="AP897" t="s">
        <v>12315</v>
      </c>
      <c r="AQ897" t="s">
        <v>74</v>
      </c>
      <c r="AR897" t="s">
        <v>12316</v>
      </c>
      <c r="AS897" t="s">
        <v>12317</v>
      </c>
      <c r="AT897" t="s">
        <v>12318</v>
      </c>
      <c r="AU897">
        <v>2002</v>
      </c>
      <c r="AV897">
        <v>357</v>
      </c>
      <c r="AW897">
        <v>1423</v>
      </c>
      <c r="AX897" t="s">
        <v>74</v>
      </c>
      <c r="AY897" t="s">
        <v>74</v>
      </c>
      <c r="AZ897" t="s">
        <v>74</v>
      </c>
      <c r="BA897" t="s">
        <v>74</v>
      </c>
      <c r="BB897">
        <v>917</v>
      </c>
      <c r="BC897">
        <v>924</v>
      </c>
      <c r="BD897" t="s">
        <v>74</v>
      </c>
      <c r="BE897" t="s">
        <v>12331</v>
      </c>
      <c r="BF897" t="str">
        <f>HYPERLINK("http://dx.doi.org/10.1098/rstb.2002.1105","http://dx.doi.org/10.1098/rstb.2002.1105")</f>
        <v>http://dx.doi.org/10.1098/rstb.2002.1105</v>
      </c>
      <c r="BG897" t="s">
        <v>74</v>
      </c>
      <c r="BH897" t="s">
        <v>74</v>
      </c>
      <c r="BI897">
        <v>8</v>
      </c>
      <c r="BJ897" t="s">
        <v>948</v>
      </c>
      <c r="BK897" t="s">
        <v>605</v>
      </c>
      <c r="BL897" t="s">
        <v>949</v>
      </c>
      <c r="BM897" t="s">
        <v>12320</v>
      </c>
      <c r="BN897">
        <v>12171655</v>
      </c>
      <c r="BO897" t="s">
        <v>4409</v>
      </c>
      <c r="BP897" t="s">
        <v>74</v>
      </c>
      <c r="BQ897" t="s">
        <v>74</v>
      </c>
      <c r="BR897" t="s">
        <v>98</v>
      </c>
      <c r="BS897" t="s">
        <v>12332</v>
      </c>
      <c r="BT897" t="str">
        <f>HYPERLINK("https%3A%2F%2Fwww.webofscience.com%2Fwos%2Fwoscc%2Ffull-record%2FWOS:000177132200017","View Full Record in Web of Science")</f>
        <v>View Full Record in Web of Science</v>
      </c>
    </row>
    <row r="898" spans="1:72" x14ac:dyDescent="0.15">
      <c r="A898" t="s">
        <v>552</v>
      </c>
      <c r="B898" t="s">
        <v>12333</v>
      </c>
      <c r="C898" t="s">
        <v>74</v>
      </c>
      <c r="D898" t="s">
        <v>74</v>
      </c>
      <c r="E898" t="s">
        <v>74</v>
      </c>
      <c r="F898" t="s">
        <v>12333</v>
      </c>
      <c r="G898" t="s">
        <v>74</v>
      </c>
      <c r="H898" t="s">
        <v>74</v>
      </c>
      <c r="I898" t="s">
        <v>12334</v>
      </c>
      <c r="J898" t="s">
        <v>12335</v>
      </c>
      <c r="K898" t="s">
        <v>74</v>
      </c>
      <c r="L898" t="s">
        <v>74</v>
      </c>
      <c r="M898" t="s">
        <v>78</v>
      </c>
      <c r="N898" t="s">
        <v>556</v>
      </c>
      <c r="O898" t="s">
        <v>74</v>
      </c>
      <c r="P898" t="s">
        <v>74</v>
      </c>
      <c r="Q898" t="s">
        <v>74</v>
      </c>
      <c r="R898" t="s">
        <v>74</v>
      </c>
      <c r="S898" t="s">
        <v>74</v>
      </c>
      <c r="T898" t="s">
        <v>74</v>
      </c>
      <c r="U898" t="s">
        <v>74</v>
      </c>
      <c r="V898" t="s">
        <v>74</v>
      </c>
      <c r="W898" t="s">
        <v>12336</v>
      </c>
      <c r="X898" t="s">
        <v>12337</v>
      </c>
      <c r="Y898" t="s">
        <v>12338</v>
      </c>
      <c r="Z898" t="s">
        <v>74</v>
      </c>
      <c r="AA898" t="s">
        <v>12339</v>
      </c>
      <c r="AB898" t="s">
        <v>12340</v>
      </c>
      <c r="AC898" t="s">
        <v>74</v>
      </c>
      <c r="AD898" t="s">
        <v>74</v>
      </c>
      <c r="AE898" t="s">
        <v>74</v>
      </c>
      <c r="AF898" t="s">
        <v>74</v>
      </c>
      <c r="AG898">
        <v>0</v>
      </c>
      <c r="AH898">
        <v>0</v>
      </c>
      <c r="AI898">
        <v>0</v>
      </c>
      <c r="AJ898">
        <v>0</v>
      </c>
      <c r="AK898">
        <v>0</v>
      </c>
      <c r="AL898" t="s">
        <v>12341</v>
      </c>
      <c r="AM898" t="s">
        <v>2113</v>
      </c>
      <c r="AN898" t="s">
        <v>12342</v>
      </c>
      <c r="AO898" t="s">
        <v>12314</v>
      </c>
      <c r="AP898" t="s">
        <v>74</v>
      </c>
      <c r="AQ898" t="s">
        <v>74</v>
      </c>
      <c r="AR898" t="s">
        <v>12343</v>
      </c>
      <c r="AS898" t="s">
        <v>12344</v>
      </c>
      <c r="AT898" t="s">
        <v>12318</v>
      </c>
      <c r="AU898">
        <v>2002</v>
      </c>
      <c r="AV898">
        <v>357</v>
      </c>
      <c r="AW898">
        <v>1423</v>
      </c>
      <c r="AX898" t="s">
        <v>74</v>
      </c>
      <c r="AY898" t="s">
        <v>74</v>
      </c>
      <c r="AZ898" t="s">
        <v>74</v>
      </c>
      <c r="BA898" t="s">
        <v>74</v>
      </c>
      <c r="BB898">
        <v>869</v>
      </c>
      <c r="BC898">
        <v>869</v>
      </c>
      <c r="BD898" t="s">
        <v>74</v>
      </c>
      <c r="BE898" t="s">
        <v>74</v>
      </c>
      <c r="BF898" t="s">
        <v>74</v>
      </c>
      <c r="BG898" t="s">
        <v>74</v>
      </c>
      <c r="BH898" t="s">
        <v>74</v>
      </c>
      <c r="BI898">
        <v>1</v>
      </c>
      <c r="BJ898" t="s">
        <v>948</v>
      </c>
      <c r="BK898" t="s">
        <v>569</v>
      </c>
      <c r="BL898" t="s">
        <v>949</v>
      </c>
      <c r="BM898" t="s">
        <v>12320</v>
      </c>
      <c r="BN898" t="s">
        <v>74</v>
      </c>
      <c r="BO898" t="s">
        <v>74</v>
      </c>
      <c r="BP898" t="s">
        <v>74</v>
      </c>
      <c r="BQ898" t="s">
        <v>74</v>
      </c>
      <c r="BR898" t="s">
        <v>98</v>
      </c>
      <c r="BS898" t="s">
        <v>12345</v>
      </c>
      <c r="BT898" t="str">
        <f>HYPERLINK("https%3A%2F%2Fwww.webofscience.com%2Fwos%2Fwoscc%2Ffull-record%2FWOS:000177132200007","View Full Record in Web of Science")</f>
        <v>View Full Record in Web of Science</v>
      </c>
    </row>
    <row r="899" spans="1:72" x14ac:dyDescent="0.15">
      <c r="A899" t="s">
        <v>552</v>
      </c>
      <c r="B899" t="s">
        <v>12346</v>
      </c>
      <c r="C899" t="s">
        <v>74</v>
      </c>
      <c r="D899" t="s">
        <v>74</v>
      </c>
      <c r="E899" t="s">
        <v>74</v>
      </c>
      <c r="F899" t="s">
        <v>12346</v>
      </c>
      <c r="G899" t="s">
        <v>74</v>
      </c>
      <c r="H899" t="s">
        <v>74</v>
      </c>
      <c r="I899" t="s">
        <v>12347</v>
      </c>
      <c r="J899" t="s">
        <v>12348</v>
      </c>
      <c r="K899" t="s">
        <v>74</v>
      </c>
      <c r="L899" t="s">
        <v>74</v>
      </c>
      <c r="M899" t="s">
        <v>78</v>
      </c>
      <c r="N899" t="s">
        <v>775</v>
      </c>
      <c r="O899" t="s">
        <v>74</v>
      </c>
      <c r="P899" t="s">
        <v>74</v>
      </c>
      <c r="Q899" t="s">
        <v>74</v>
      </c>
      <c r="R899" t="s">
        <v>74</v>
      </c>
      <c r="S899" t="s">
        <v>74</v>
      </c>
      <c r="T899" t="s">
        <v>12349</v>
      </c>
      <c r="U899" t="s">
        <v>12350</v>
      </c>
      <c r="V899" t="s">
        <v>12351</v>
      </c>
      <c r="W899" t="s">
        <v>12352</v>
      </c>
      <c r="X899" t="s">
        <v>12353</v>
      </c>
      <c r="Y899" t="s">
        <v>12354</v>
      </c>
      <c r="Z899" t="s">
        <v>74</v>
      </c>
      <c r="AA899" t="s">
        <v>74</v>
      </c>
      <c r="AB899" t="s">
        <v>74</v>
      </c>
      <c r="AC899" t="s">
        <v>74</v>
      </c>
      <c r="AD899" t="s">
        <v>74</v>
      </c>
      <c r="AE899" t="s">
        <v>74</v>
      </c>
      <c r="AF899" t="s">
        <v>74</v>
      </c>
      <c r="AG899">
        <v>38</v>
      </c>
      <c r="AH899">
        <v>67</v>
      </c>
      <c r="AI899">
        <v>73</v>
      </c>
      <c r="AJ899">
        <v>0</v>
      </c>
      <c r="AK899">
        <v>10</v>
      </c>
      <c r="AL899" t="s">
        <v>12355</v>
      </c>
      <c r="AM899" t="s">
        <v>388</v>
      </c>
      <c r="AN899" t="s">
        <v>12356</v>
      </c>
      <c r="AO899" t="s">
        <v>12357</v>
      </c>
      <c r="AP899" t="s">
        <v>74</v>
      </c>
      <c r="AQ899" t="s">
        <v>74</v>
      </c>
      <c r="AR899" t="s">
        <v>12358</v>
      </c>
      <c r="AS899" t="s">
        <v>12359</v>
      </c>
      <c r="AT899" t="s">
        <v>12360</v>
      </c>
      <c r="AU899">
        <v>2002</v>
      </c>
      <c r="AV899">
        <v>99</v>
      </c>
      <c r="AW899">
        <v>15</v>
      </c>
      <c r="AX899" t="s">
        <v>74</v>
      </c>
      <c r="AY899" t="s">
        <v>74</v>
      </c>
      <c r="AZ899" t="s">
        <v>74</v>
      </c>
      <c r="BA899" t="s">
        <v>74</v>
      </c>
      <c r="BB899">
        <v>9801</v>
      </c>
      <c r="BC899">
        <v>9806</v>
      </c>
      <c r="BD899" t="s">
        <v>74</v>
      </c>
      <c r="BE899" t="s">
        <v>12361</v>
      </c>
      <c r="BF899" t="str">
        <f>HYPERLINK("http://dx.doi.org/10.1073/pnas.132182099","http://dx.doi.org/10.1073/pnas.132182099")</f>
        <v>http://dx.doi.org/10.1073/pnas.132182099</v>
      </c>
      <c r="BG899" t="s">
        <v>74</v>
      </c>
      <c r="BH899" t="s">
        <v>74</v>
      </c>
      <c r="BI899">
        <v>6</v>
      </c>
      <c r="BJ899" t="s">
        <v>5596</v>
      </c>
      <c r="BK899" t="s">
        <v>569</v>
      </c>
      <c r="BL899" t="s">
        <v>5597</v>
      </c>
      <c r="BM899" t="s">
        <v>12362</v>
      </c>
      <c r="BN899">
        <v>12093902</v>
      </c>
      <c r="BO899" t="s">
        <v>794</v>
      </c>
      <c r="BP899" t="s">
        <v>74</v>
      </c>
      <c r="BQ899" t="s">
        <v>74</v>
      </c>
      <c r="BR899" t="s">
        <v>98</v>
      </c>
      <c r="BS899" t="s">
        <v>12363</v>
      </c>
      <c r="BT899" t="str">
        <f>HYPERLINK("https%3A%2F%2Fwww.webofscience.com%2Fwos%2Fwoscc%2Ffull-record%2FWOS:000177042400038","View Full Record in Web of Science")</f>
        <v>View Full Record in Web of Science</v>
      </c>
    </row>
    <row r="900" spans="1:72" x14ac:dyDescent="0.15">
      <c r="A900" t="s">
        <v>552</v>
      </c>
      <c r="B900" t="s">
        <v>12364</v>
      </c>
      <c r="C900" t="s">
        <v>74</v>
      </c>
      <c r="D900" t="s">
        <v>74</v>
      </c>
      <c r="E900" t="s">
        <v>74</v>
      </c>
      <c r="F900" t="s">
        <v>12364</v>
      </c>
      <c r="G900" t="s">
        <v>74</v>
      </c>
      <c r="H900" t="s">
        <v>74</v>
      </c>
      <c r="I900" t="s">
        <v>12365</v>
      </c>
      <c r="J900" t="s">
        <v>8208</v>
      </c>
      <c r="K900" t="s">
        <v>74</v>
      </c>
      <c r="L900" t="s">
        <v>74</v>
      </c>
      <c r="M900" t="s">
        <v>78</v>
      </c>
      <c r="N900" t="s">
        <v>775</v>
      </c>
      <c r="O900" t="s">
        <v>74</v>
      </c>
      <c r="P900" t="s">
        <v>74</v>
      </c>
      <c r="Q900" t="s">
        <v>74</v>
      </c>
      <c r="R900" t="s">
        <v>74</v>
      </c>
      <c r="S900" t="s">
        <v>74</v>
      </c>
      <c r="T900" t="s">
        <v>74</v>
      </c>
      <c r="U900" t="s">
        <v>12366</v>
      </c>
      <c r="V900" t="s">
        <v>12367</v>
      </c>
      <c r="W900" t="s">
        <v>12368</v>
      </c>
      <c r="X900" t="s">
        <v>558</v>
      </c>
      <c r="Y900" t="s">
        <v>1434</v>
      </c>
      <c r="Z900" t="s">
        <v>12369</v>
      </c>
      <c r="AA900" t="s">
        <v>74</v>
      </c>
      <c r="AB900" t="s">
        <v>74</v>
      </c>
      <c r="AC900" t="s">
        <v>74</v>
      </c>
      <c r="AD900" t="s">
        <v>74</v>
      </c>
      <c r="AE900" t="s">
        <v>74</v>
      </c>
      <c r="AF900" t="s">
        <v>74</v>
      </c>
      <c r="AG900">
        <v>29</v>
      </c>
      <c r="AH900">
        <v>274</v>
      </c>
      <c r="AI900">
        <v>311</v>
      </c>
      <c r="AJ900">
        <v>2</v>
      </c>
      <c r="AK900">
        <v>43</v>
      </c>
      <c r="AL900" t="s">
        <v>8212</v>
      </c>
      <c r="AM900" t="s">
        <v>388</v>
      </c>
      <c r="AN900" t="s">
        <v>8213</v>
      </c>
      <c r="AO900" t="s">
        <v>8214</v>
      </c>
      <c r="AP900" t="s">
        <v>11063</v>
      </c>
      <c r="AQ900" t="s">
        <v>74</v>
      </c>
      <c r="AR900" t="s">
        <v>8208</v>
      </c>
      <c r="AS900" t="s">
        <v>8215</v>
      </c>
      <c r="AT900" t="s">
        <v>12370</v>
      </c>
      <c r="AU900">
        <v>2002</v>
      </c>
      <c r="AV900">
        <v>297</v>
      </c>
      <c r="AW900">
        <v>5580</v>
      </c>
      <c r="AX900" t="s">
        <v>74</v>
      </c>
      <c r="AY900" t="s">
        <v>74</v>
      </c>
      <c r="AZ900" t="s">
        <v>74</v>
      </c>
      <c r="BA900" t="s">
        <v>74</v>
      </c>
      <c r="BB900">
        <v>386</v>
      </c>
      <c r="BC900">
        <v>389</v>
      </c>
      <c r="BD900" t="s">
        <v>74</v>
      </c>
      <c r="BE900" t="s">
        <v>12371</v>
      </c>
      <c r="BF900" t="str">
        <f>HYPERLINK("http://dx.doi.org/10.1126/science.1069574","http://dx.doi.org/10.1126/science.1069574")</f>
        <v>http://dx.doi.org/10.1126/science.1069574</v>
      </c>
      <c r="BG900" t="s">
        <v>74</v>
      </c>
      <c r="BH900" t="s">
        <v>74</v>
      </c>
      <c r="BI900">
        <v>5</v>
      </c>
      <c r="BJ900" t="s">
        <v>5596</v>
      </c>
      <c r="BK900" t="s">
        <v>569</v>
      </c>
      <c r="BL900" t="s">
        <v>5597</v>
      </c>
      <c r="BM900" t="s">
        <v>12372</v>
      </c>
      <c r="BN900">
        <v>12130782</v>
      </c>
      <c r="BO900" t="s">
        <v>74</v>
      </c>
      <c r="BP900" t="s">
        <v>74</v>
      </c>
      <c r="BQ900" t="s">
        <v>74</v>
      </c>
      <c r="BR900" t="s">
        <v>98</v>
      </c>
      <c r="BS900" t="s">
        <v>12373</v>
      </c>
      <c r="BT900" t="str">
        <f>HYPERLINK("https%3A%2F%2Fwww.webofscience.com%2Fwos%2Fwoscc%2Ffull-record%2FWOS:000176892600047","View Full Record in Web of Science")</f>
        <v>View Full Record in Web of Science</v>
      </c>
    </row>
    <row r="901" spans="1:72" x14ac:dyDescent="0.15">
      <c r="A901" t="s">
        <v>552</v>
      </c>
      <c r="B901" t="s">
        <v>12374</v>
      </c>
      <c r="C901" t="s">
        <v>74</v>
      </c>
      <c r="D901" t="s">
        <v>74</v>
      </c>
      <c r="E901" t="s">
        <v>74</v>
      </c>
      <c r="F901" t="s">
        <v>12374</v>
      </c>
      <c r="G901" t="s">
        <v>74</v>
      </c>
      <c r="H901" t="s">
        <v>74</v>
      </c>
      <c r="I901" t="s">
        <v>12375</v>
      </c>
      <c r="J901" t="s">
        <v>3202</v>
      </c>
      <c r="K901" t="s">
        <v>74</v>
      </c>
      <c r="L901" t="s">
        <v>74</v>
      </c>
      <c r="M901" t="s">
        <v>78</v>
      </c>
      <c r="N901" t="s">
        <v>775</v>
      </c>
      <c r="O901" t="s">
        <v>74</v>
      </c>
      <c r="P901" t="s">
        <v>74</v>
      </c>
      <c r="Q901" t="s">
        <v>74</v>
      </c>
      <c r="R901" t="s">
        <v>74</v>
      </c>
      <c r="S901" t="s">
        <v>74</v>
      </c>
      <c r="T901" t="s">
        <v>12376</v>
      </c>
      <c r="U901" t="s">
        <v>12377</v>
      </c>
      <c r="V901" t="s">
        <v>12378</v>
      </c>
      <c r="W901" t="s">
        <v>12379</v>
      </c>
      <c r="X901" t="s">
        <v>12380</v>
      </c>
      <c r="Y901" t="s">
        <v>12381</v>
      </c>
      <c r="Z901" t="s">
        <v>12382</v>
      </c>
      <c r="AA901" t="s">
        <v>12383</v>
      </c>
      <c r="AB901" t="s">
        <v>12384</v>
      </c>
      <c r="AC901" t="s">
        <v>74</v>
      </c>
      <c r="AD901" t="s">
        <v>74</v>
      </c>
      <c r="AE901" t="s">
        <v>74</v>
      </c>
      <c r="AF901" t="s">
        <v>74</v>
      </c>
      <c r="AG901">
        <v>57</v>
      </c>
      <c r="AH901">
        <v>88</v>
      </c>
      <c r="AI901">
        <v>98</v>
      </c>
      <c r="AJ901">
        <v>1</v>
      </c>
      <c r="AK901">
        <v>47</v>
      </c>
      <c r="AL901" t="s">
        <v>3209</v>
      </c>
      <c r="AM901" t="s">
        <v>3210</v>
      </c>
      <c r="AN901" t="s">
        <v>3211</v>
      </c>
      <c r="AO901" t="s">
        <v>3212</v>
      </c>
      <c r="AP901" t="s">
        <v>3213</v>
      </c>
      <c r="AQ901" t="s">
        <v>74</v>
      </c>
      <c r="AR901" t="s">
        <v>3214</v>
      </c>
      <c r="AS901" t="s">
        <v>3215</v>
      </c>
      <c r="AT901" t="s">
        <v>12385</v>
      </c>
      <c r="AU901">
        <v>2002</v>
      </c>
      <c r="AV901">
        <v>237</v>
      </c>
      <c r="AW901" t="s">
        <v>74</v>
      </c>
      <c r="AX901" t="s">
        <v>74</v>
      </c>
      <c r="AY901" t="s">
        <v>74</v>
      </c>
      <c r="AZ901" t="s">
        <v>74</v>
      </c>
      <c r="BA901" t="s">
        <v>74</v>
      </c>
      <c r="BB901">
        <v>209</v>
      </c>
      <c r="BC901">
        <v>216</v>
      </c>
      <c r="BD901" t="s">
        <v>74</v>
      </c>
      <c r="BE901" t="s">
        <v>12386</v>
      </c>
      <c r="BF901" t="str">
        <f>HYPERLINK("http://dx.doi.org/10.3354/meps237209","http://dx.doi.org/10.3354/meps237209")</f>
        <v>http://dx.doi.org/10.3354/meps237209</v>
      </c>
      <c r="BG901" t="s">
        <v>74</v>
      </c>
      <c r="BH901" t="s">
        <v>74</v>
      </c>
      <c r="BI901">
        <v>8</v>
      </c>
      <c r="BJ901" t="s">
        <v>3217</v>
      </c>
      <c r="BK901" t="s">
        <v>569</v>
      </c>
      <c r="BL901" t="s">
        <v>3218</v>
      </c>
      <c r="BM901" t="s">
        <v>12387</v>
      </c>
      <c r="BN901" t="s">
        <v>74</v>
      </c>
      <c r="BO901" t="s">
        <v>572</v>
      </c>
      <c r="BP901" t="s">
        <v>74</v>
      </c>
      <c r="BQ901" t="s">
        <v>74</v>
      </c>
      <c r="BR901" t="s">
        <v>98</v>
      </c>
      <c r="BS901" t="s">
        <v>12388</v>
      </c>
      <c r="BT901" t="str">
        <f>HYPERLINK("https%3A%2F%2Fwww.webofscience.com%2Fwos%2Fwoscc%2Ffull-record%2FWOS:000177535300019","View Full Record in Web of Science")</f>
        <v>View Full Record in Web of Science</v>
      </c>
    </row>
    <row r="902" spans="1:72" x14ac:dyDescent="0.15">
      <c r="A902" t="s">
        <v>552</v>
      </c>
      <c r="B902" t="s">
        <v>12389</v>
      </c>
      <c r="C902" t="s">
        <v>74</v>
      </c>
      <c r="D902" t="s">
        <v>74</v>
      </c>
      <c r="E902" t="s">
        <v>74</v>
      </c>
      <c r="F902" t="s">
        <v>12389</v>
      </c>
      <c r="G902" t="s">
        <v>74</v>
      </c>
      <c r="H902" t="s">
        <v>74</v>
      </c>
      <c r="I902" t="s">
        <v>12390</v>
      </c>
      <c r="J902" t="s">
        <v>3202</v>
      </c>
      <c r="K902" t="s">
        <v>74</v>
      </c>
      <c r="L902" t="s">
        <v>74</v>
      </c>
      <c r="M902" t="s">
        <v>78</v>
      </c>
      <c r="N902" t="s">
        <v>775</v>
      </c>
      <c r="O902" t="s">
        <v>74</v>
      </c>
      <c r="P902" t="s">
        <v>74</v>
      </c>
      <c r="Q902" t="s">
        <v>74</v>
      </c>
      <c r="R902" t="s">
        <v>74</v>
      </c>
      <c r="S902" t="s">
        <v>74</v>
      </c>
      <c r="T902" t="s">
        <v>12391</v>
      </c>
      <c r="U902" t="s">
        <v>12392</v>
      </c>
      <c r="V902" t="s">
        <v>12393</v>
      </c>
      <c r="W902" t="s">
        <v>189</v>
      </c>
      <c r="X902" t="s">
        <v>149</v>
      </c>
      <c r="Y902" t="s">
        <v>12394</v>
      </c>
      <c r="Z902" t="s">
        <v>12395</v>
      </c>
      <c r="AA902" t="s">
        <v>12396</v>
      </c>
      <c r="AB902" t="s">
        <v>74</v>
      </c>
      <c r="AC902" t="s">
        <v>74</v>
      </c>
      <c r="AD902" t="s">
        <v>74</v>
      </c>
      <c r="AE902" t="s">
        <v>74</v>
      </c>
      <c r="AF902" t="s">
        <v>74</v>
      </c>
      <c r="AG902">
        <v>51</v>
      </c>
      <c r="AH902">
        <v>27</v>
      </c>
      <c r="AI902">
        <v>28</v>
      </c>
      <c r="AJ902">
        <v>0</v>
      </c>
      <c r="AK902">
        <v>32</v>
      </c>
      <c r="AL902" t="s">
        <v>3209</v>
      </c>
      <c r="AM902" t="s">
        <v>3210</v>
      </c>
      <c r="AN902" t="s">
        <v>3211</v>
      </c>
      <c r="AO902" t="s">
        <v>3212</v>
      </c>
      <c r="AP902" t="s">
        <v>3213</v>
      </c>
      <c r="AQ902" t="s">
        <v>74</v>
      </c>
      <c r="AR902" t="s">
        <v>3214</v>
      </c>
      <c r="AS902" t="s">
        <v>3215</v>
      </c>
      <c r="AT902" t="s">
        <v>12385</v>
      </c>
      <c r="AU902">
        <v>2002</v>
      </c>
      <c r="AV902">
        <v>237</v>
      </c>
      <c r="AW902" t="s">
        <v>74</v>
      </c>
      <c r="AX902" t="s">
        <v>74</v>
      </c>
      <c r="AY902" t="s">
        <v>74</v>
      </c>
      <c r="AZ902" t="s">
        <v>74</v>
      </c>
      <c r="BA902" t="s">
        <v>74</v>
      </c>
      <c r="BB902">
        <v>291</v>
      </c>
      <c r="BC902">
        <v>300</v>
      </c>
      <c r="BD902" t="s">
        <v>74</v>
      </c>
      <c r="BE902" t="s">
        <v>12397</v>
      </c>
      <c r="BF902" t="str">
        <f>HYPERLINK("http://dx.doi.org/10.3354/meps237291","http://dx.doi.org/10.3354/meps237291")</f>
        <v>http://dx.doi.org/10.3354/meps237291</v>
      </c>
      <c r="BG902" t="s">
        <v>74</v>
      </c>
      <c r="BH902" t="s">
        <v>74</v>
      </c>
      <c r="BI902">
        <v>10</v>
      </c>
      <c r="BJ902" t="s">
        <v>3217</v>
      </c>
      <c r="BK902" t="s">
        <v>569</v>
      </c>
      <c r="BL902" t="s">
        <v>3218</v>
      </c>
      <c r="BM902" t="s">
        <v>12387</v>
      </c>
      <c r="BN902" t="s">
        <v>74</v>
      </c>
      <c r="BO902" t="s">
        <v>572</v>
      </c>
      <c r="BP902" t="s">
        <v>74</v>
      </c>
      <c r="BQ902" t="s">
        <v>74</v>
      </c>
      <c r="BR902" t="s">
        <v>98</v>
      </c>
      <c r="BS902" t="s">
        <v>12398</v>
      </c>
      <c r="BT902" t="str">
        <f>HYPERLINK("https%3A%2F%2Fwww.webofscience.com%2Fwos%2Fwoscc%2Ffull-record%2FWOS:000177535300026","View Full Record in Web of Science")</f>
        <v>View Full Record in Web of Science</v>
      </c>
    </row>
    <row r="903" spans="1:72" x14ac:dyDescent="0.15">
      <c r="A903" t="s">
        <v>552</v>
      </c>
      <c r="B903" t="s">
        <v>12399</v>
      </c>
      <c r="C903" t="s">
        <v>74</v>
      </c>
      <c r="D903" t="s">
        <v>74</v>
      </c>
      <c r="E903" t="s">
        <v>74</v>
      </c>
      <c r="F903" t="s">
        <v>12399</v>
      </c>
      <c r="G903" t="s">
        <v>74</v>
      </c>
      <c r="H903" t="s">
        <v>74</v>
      </c>
      <c r="I903" t="s">
        <v>12400</v>
      </c>
      <c r="J903" t="s">
        <v>8515</v>
      </c>
      <c r="K903" t="s">
        <v>74</v>
      </c>
      <c r="L903" t="s">
        <v>74</v>
      </c>
      <c r="M903" t="s">
        <v>78</v>
      </c>
      <c r="N903" t="s">
        <v>775</v>
      </c>
      <c r="O903" t="s">
        <v>74</v>
      </c>
      <c r="P903" t="s">
        <v>74</v>
      </c>
      <c r="Q903" t="s">
        <v>74</v>
      </c>
      <c r="R903" t="s">
        <v>74</v>
      </c>
      <c r="S903" t="s">
        <v>74</v>
      </c>
      <c r="T903" t="s">
        <v>74</v>
      </c>
      <c r="U903" t="s">
        <v>74</v>
      </c>
      <c r="V903" t="s">
        <v>74</v>
      </c>
      <c r="W903" t="s">
        <v>12401</v>
      </c>
      <c r="X903" t="s">
        <v>12402</v>
      </c>
      <c r="Y903" t="s">
        <v>12403</v>
      </c>
      <c r="Z903" t="s">
        <v>74</v>
      </c>
      <c r="AA903" t="s">
        <v>2669</v>
      </c>
      <c r="AB903" t="s">
        <v>12404</v>
      </c>
      <c r="AC903" t="s">
        <v>74</v>
      </c>
      <c r="AD903" t="s">
        <v>74</v>
      </c>
      <c r="AE903" t="s">
        <v>74</v>
      </c>
      <c r="AF903" t="s">
        <v>74</v>
      </c>
      <c r="AG903">
        <v>5</v>
      </c>
      <c r="AH903">
        <v>41</v>
      </c>
      <c r="AI903">
        <v>45</v>
      </c>
      <c r="AJ903">
        <v>1</v>
      </c>
      <c r="AK903">
        <v>20</v>
      </c>
      <c r="AL903" t="s">
        <v>3815</v>
      </c>
      <c r="AM903" t="s">
        <v>2113</v>
      </c>
      <c r="AN903" t="s">
        <v>3816</v>
      </c>
      <c r="AO903" t="s">
        <v>8523</v>
      </c>
      <c r="AP903" t="s">
        <v>74</v>
      </c>
      <c r="AQ903" t="s">
        <v>74</v>
      </c>
      <c r="AR903" t="s">
        <v>8515</v>
      </c>
      <c r="AS903" t="s">
        <v>8524</v>
      </c>
      <c r="AT903" t="s">
        <v>12385</v>
      </c>
      <c r="AU903">
        <v>2002</v>
      </c>
      <c r="AV903">
        <v>418</v>
      </c>
      <c r="AW903">
        <v>6895</v>
      </c>
      <c r="AX903" t="s">
        <v>74</v>
      </c>
      <c r="AY903" t="s">
        <v>74</v>
      </c>
      <c r="AZ903" t="s">
        <v>74</v>
      </c>
      <c r="BA903" t="s">
        <v>74</v>
      </c>
      <c r="BB903">
        <v>291</v>
      </c>
      <c r="BC903">
        <v>292</v>
      </c>
      <c r="BD903" t="s">
        <v>74</v>
      </c>
      <c r="BE903" t="s">
        <v>12405</v>
      </c>
      <c r="BF903" t="str">
        <f>HYPERLINK("http://dx.doi.org/10.1038/418291b","http://dx.doi.org/10.1038/418291b")</f>
        <v>http://dx.doi.org/10.1038/418291b</v>
      </c>
      <c r="BG903" t="s">
        <v>74</v>
      </c>
      <c r="BH903" t="s">
        <v>74</v>
      </c>
      <c r="BI903">
        <v>2</v>
      </c>
      <c r="BJ903" t="s">
        <v>5596</v>
      </c>
      <c r="BK903" t="s">
        <v>569</v>
      </c>
      <c r="BL903" t="s">
        <v>5597</v>
      </c>
      <c r="BM903" t="s">
        <v>12406</v>
      </c>
      <c r="BN903">
        <v>12124614</v>
      </c>
      <c r="BO903" t="s">
        <v>74</v>
      </c>
      <c r="BP903" t="s">
        <v>74</v>
      </c>
      <c r="BQ903" t="s">
        <v>74</v>
      </c>
      <c r="BR903" t="s">
        <v>98</v>
      </c>
      <c r="BS903" t="s">
        <v>12407</v>
      </c>
      <c r="BT903" t="str">
        <f>HYPERLINK("https%3A%2F%2Fwww.webofscience.com%2Fwos%2Fwoscc%2Ffull-record%2FWOS:000176868000032","View Full Record in Web of Science")</f>
        <v>View Full Record in Web of Science</v>
      </c>
    </row>
    <row r="904" spans="1:72" x14ac:dyDescent="0.15">
      <c r="A904" t="s">
        <v>552</v>
      </c>
      <c r="B904" t="s">
        <v>12408</v>
      </c>
      <c r="C904" t="s">
        <v>74</v>
      </c>
      <c r="D904" t="s">
        <v>74</v>
      </c>
      <c r="E904" t="s">
        <v>74</v>
      </c>
      <c r="F904" t="s">
        <v>12408</v>
      </c>
      <c r="G904" t="s">
        <v>74</v>
      </c>
      <c r="H904" t="s">
        <v>74</v>
      </c>
      <c r="I904" t="s">
        <v>12400</v>
      </c>
      <c r="J904" t="s">
        <v>8515</v>
      </c>
      <c r="K904" t="s">
        <v>74</v>
      </c>
      <c r="L904" t="s">
        <v>74</v>
      </c>
      <c r="M904" t="s">
        <v>78</v>
      </c>
      <c r="N904" t="s">
        <v>775</v>
      </c>
      <c r="O904" t="s">
        <v>74</v>
      </c>
      <c r="P904" t="s">
        <v>74</v>
      </c>
      <c r="Q904" t="s">
        <v>74</v>
      </c>
      <c r="R904" t="s">
        <v>74</v>
      </c>
      <c r="S904" t="s">
        <v>74</v>
      </c>
      <c r="T904" t="s">
        <v>74</v>
      </c>
      <c r="U904" t="s">
        <v>74</v>
      </c>
      <c r="V904" t="s">
        <v>74</v>
      </c>
      <c r="W904" t="s">
        <v>12409</v>
      </c>
      <c r="X904" t="s">
        <v>12410</v>
      </c>
      <c r="Y904" t="s">
        <v>12411</v>
      </c>
      <c r="Z904" t="s">
        <v>74</v>
      </c>
      <c r="AA904" t="s">
        <v>12412</v>
      </c>
      <c r="AB904" t="s">
        <v>12413</v>
      </c>
      <c r="AC904" t="s">
        <v>74</v>
      </c>
      <c r="AD904" t="s">
        <v>74</v>
      </c>
      <c r="AE904" t="s">
        <v>74</v>
      </c>
      <c r="AF904" t="s">
        <v>74</v>
      </c>
      <c r="AG904">
        <v>4</v>
      </c>
      <c r="AH904">
        <v>5</v>
      </c>
      <c r="AI904">
        <v>6</v>
      </c>
      <c r="AJ904">
        <v>0</v>
      </c>
      <c r="AK904">
        <v>11</v>
      </c>
      <c r="AL904" t="s">
        <v>3815</v>
      </c>
      <c r="AM904" t="s">
        <v>2113</v>
      </c>
      <c r="AN904" t="s">
        <v>3816</v>
      </c>
      <c r="AO904" t="s">
        <v>8523</v>
      </c>
      <c r="AP904" t="s">
        <v>74</v>
      </c>
      <c r="AQ904" t="s">
        <v>74</v>
      </c>
      <c r="AR904" t="s">
        <v>8515</v>
      </c>
      <c r="AS904" t="s">
        <v>8524</v>
      </c>
      <c r="AT904" t="s">
        <v>12385</v>
      </c>
      <c r="AU904">
        <v>2002</v>
      </c>
      <c r="AV904">
        <v>418</v>
      </c>
      <c r="AW904">
        <v>6895</v>
      </c>
      <c r="AX904" t="s">
        <v>74</v>
      </c>
      <c r="AY904" t="s">
        <v>74</v>
      </c>
      <c r="AZ904" t="s">
        <v>74</v>
      </c>
      <c r="BA904" t="s">
        <v>74</v>
      </c>
      <c r="BB904">
        <v>292</v>
      </c>
      <c r="BC904">
        <v>292</v>
      </c>
      <c r="BD904" t="s">
        <v>74</v>
      </c>
      <c r="BE904" t="s">
        <v>12414</v>
      </c>
      <c r="BF904" t="str">
        <f>HYPERLINK("http://dx.doi.org/10.1038/418292a","http://dx.doi.org/10.1038/418292a")</f>
        <v>http://dx.doi.org/10.1038/418292a</v>
      </c>
      <c r="BG904" t="s">
        <v>74</v>
      </c>
      <c r="BH904" t="s">
        <v>74</v>
      </c>
      <c r="BI904">
        <v>1</v>
      </c>
      <c r="BJ904" t="s">
        <v>5596</v>
      </c>
      <c r="BK904" t="s">
        <v>569</v>
      </c>
      <c r="BL904" t="s">
        <v>5597</v>
      </c>
      <c r="BM904" t="s">
        <v>12406</v>
      </c>
      <c r="BN904" t="s">
        <v>74</v>
      </c>
      <c r="BO904" t="s">
        <v>572</v>
      </c>
      <c r="BP904" t="s">
        <v>74</v>
      </c>
      <c r="BQ904" t="s">
        <v>74</v>
      </c>
      <c r="BR904" t="s">
        <v>98</v>
      </c>
      <c r="BS904" t="s">
        <v>12415</v>
      </c>
      <c r="BT904" t="str">
        <f>HYPERLINK("https%3A%2F%2Fwww.webofscience.com%2Fwos%2Fwoscc%2Ffull-record%2FWOS:000176868000033","View Full Record in Web of Science")</f>
        <v>View Full Record in Web of Science</v>
      </c>
    </row>
    <row r="905" spans="1:72" x14ac:dyDescent="0.15">
      <c r="A905" t="s">
        <v>552</v>
      </c>
      <c r="B905" t="s">
        <v>12416</v>
      </c>
      <c r="C905" t="s">
        <v>74</v>
      </c>
      <c r="D905" t="s">
        <v>74</v>
      </c>
      <c r="E905" t="s">
        <v>74</v>
      </c>
      <c r="F905" t="s">
        <v>12416</v>
      </c>
      <c r="G905" t="s">
        <v>74</v>
      </c>
      <c r="H905" t="s">
        <v>74</v>
      </c>
      <c r="I905" t="s">
        <v>12417</v>
      </c>
      <c r="J905" t="s">
        <v>6799</v>
      </c>
      <c r="K905" t="s">
        <v>74</v>
      </c>
      <c r="L905" t="s">
        <v>74</v>
      </c>
      <c r="M905" t="s">
        <v>78</v>
      </c>
      <c r="N905" t="s">
        <v>775</v>
      </c>
      <c r="O905" t="s">
        <v>74</v>
      </c>
      <c r="P905" t="s">
        <v>74</v>
      </c>
      <c r="Q905" t="s">
        <v>74</v>
      </c>
      <c r="R905" t="s">
        <v>74</v>
      </c>
      <c r="S905" t="s">
        <v>74</v>
      </c>
      <c r="T905" t="s">
        <v>12418</v>
      </c>
      <c r="U905" t="s">
        <v>12419</v>
      </c>
      <c r="V905" t="s">
        <v>12420</v>
      </c>
      <c r="W905" t="s">
        <v>12421</v>
      </c>
      <c r="X905" t="s">
        <v>9406</v>
      </c>
      <c r="Y905" t="s">
        <v>12422</v>
      </c>
      <c r="Z905" t="s">
        <v>12423</v>
      </c>
      <c r="AA905" t="s">
        <v>12424</v>
      </c>
      <c r="AB905" t="s">
        <v>12425</v>
      </c>
      <c r="AC905" t="s">
        <v>74</v>
      </c>
      <c r="AD905" t="s">
        <v>74</v>
      </c>
      <c r="AE905" t="s">
        <v>74</v>
      </c>
      <c r="AF905" t="s">
        <v>74</v>
      </c>
      <c r="AG905">
        <v>58</v>
      </c>
      <c r="AH905">
        <v>25</v>
      </c>
      <c r="AI905">
        <v>29</v>
      </c>
      <c r="AJ905">
        <v>1</v>
      </c>
      <c r="AK905">
        <v>11</v>
      </c>
      <c r="AL905" t="s">
        <v>3155</v>
      </c>
      <c r="AM905" t="s">
        <v>1861</v>
      </c>
      <c r="AN905" t="s">
        <v>3156</v>
      </c>
      <c r="AO905" t="s">
        <v>6808</v>
      </c>
      <c r="AP905" t="s">
        <v>6825</v>
      </c>
      <c r="AQ905" t="s">
        <v>74</v>
      </c>
      <c r="AR905" t="s">
        <v>6809</v>
      </c>
      <c r="AS905" t="s">
        <v>6810</v>
      </c>
      <c r="AT905" t="s">
        <v>12426</v>
      </c>
      <c r="AU905">
        <v>2002</v>
      </c>
      <c r="AV905">
        <v>201</v>
      </c>
      <c r="AW905">
        <v>1</v>
      </c>
      <c r="AX905" t="s">
        <v>74</v>
      </c>
      <c r="AY905" t="s">
        <v>74</v>
      </c>
      <c r="AZ905" t="s">
        <v>74</v>
      </c>
      <c r="BA905" t="s">
        <v>74</v>
      </c>
      <c r="BB905">
        <v>127</v>
      </c>
      <c r="BC905">
        <v>142</v>
      </c>
      <c r="BD905" t="s">
        <v>12427</v>
      </c>
      <c r="BE905" t="s">
        <v>12428</v>
      </c>
      <c r="BF905" t="str">
        <f>HYPERLINK("http://dx.doi.org/10.1016/S0012-821X(02)00661-1","http://dx.doi.org/10.1016/S0012-821X(02)00661-1")</f>
        <v>http://dx.doi.org/10.1016/S0012-821X(02)00661-1</v>
      </c>
      <c r="BG905" t="s">
        <v>74</v>
      </c>
      <c r="BH905" t="s">
        <v>74</v>
      </c>
      <c r="BI905">
        <v>16</v>
      </c>
      <c r="BJ905" t="s">
        <v>2068</v>
      </c>
      <c r="BK905" t="s">
        <v>569</v>
      </c>
      <c r="BL905" t="s">
        <v>2068</v>
      </c>
      <c r="BM905" t="s">
        <v>12429</v>
      </c>
      <c r="BN905" t="s">
        <v>74</v>
      </c>
      <c r="BO905" t="s">
        <v>74</v>
      </c>
      <c r="BP905" t="s">
        <v>74</v>
      </c>
      <c r="BQ905" t="s">
        <v>74</v>
      </c>
      <c r="BR905" t="s">
        <v>98</v>
      </c>
      <c r="BS905" t="s">
        <v>12430</v>
      </c>
      <c r="BT905" t="str">
        <f>HYPERLINK("https%3A%2F%2Fwww.webofscience.com%2Fwos%2Fwoscc%2Ffull-record%2FWOS:000176782800011","View Full Record in Web of Science")</f>
        <v>View Full Record in Web of Science</v>
      </c>
    </row>
    <row r="906" spans="1:72" x14ac:dyDescent="0.15">
      <c r="A906" t="s">
        <v>552</v>
      </c>
      <c r="B906" t="s">
        <v>12431</v>
      </c>
      <c r="C906" t="s">
        <v>74</v>
      </c>
      <c r="D906" t="s">
        <v>74</v>
      </c>
      <c r="E906" t="s">
        <v>74</v>
      </c>
      <c r="F906" t="s">
        <v>12431</v>
      </c>
      <c r="G906" t="s">
        <v>74</v>
      </c>
      <c r="H906" t="s">
        <v>74</v>
      </c>
      <c r="I906" t="s">
        <v>12432</v>
      </c>
      <c r="J906" t="s">
        <v>6799</v>
      </c>
      <c r="K906" t="s">
        <v>74</v>
      </c>
      <c r="L906" t="s">
        <v>74</v>
      </c>
      <c r="M906" t="s">
        <v>78</v>
      </c>
      <c r="N906" t="s">
        <v>775</v>
      </c>
      <c r="O906" t="s">
        <v>74</v>
      </c>
      <c r="P906" t="s">
        <v>74</v>
      </c>
      <c r="Q906" t="s">
        <v>74</v>
      </c>
      <c r="R906" t="s">
        <v>74</v>
      </c>
      <c r="S906" t="s">
        <v>74</v>
      </c>
      <c r="T906" t="s">
        <v>12433</v>
      </c>
      <c r="U906" t="s">
        <v>12434</v>
      </c>
      <c r="V906" t="s">
        <v>12435</v>
      </c>
      <c r="W906" t="s">
        <v>12436</v>
      </c>
      <c r="X906" t="s">
        <v>12437</v>
      </c>
      <c r="Y906" t="s">
        <v>12438</v>
      </c>
      <c r="Z906" t="s">
        <v>74</v>
      </c>
      <c r="AA906" t="s">
        <v>12439</v>
      </c>
      <c r="AB906" t="s">
        <v>12440</v>
      </c>
      <c r="AC906" t="s">
        <v>74</v>
      </c>
      <c r="AD906" t="s">
        <v>74</v>
      </c>
      <c r="AE906" t="s">
        <v>74</v>
      </c>
      <c r="AF906" t="s">
        <v>74</v>
      </c>
      <c r="AG906">
        <v>52</v>
      </c>
      <c r="AH906">
        <v>46</v>
      </c>
      <c r="AI906">
        <v>49</v>
      </c>
      <c r="AJ906">
        <v>0</v>
      </c>
      <c r="AK906">
        <v>6</v>
      </c>
      <c r="AL906" t="s">
        <v>1860</v>
      </c>
      <c r="AM906" t="s">
        <v>1861</v>
      </c>
      <c r="AN906" t="s">
        <v>1862</v>
      </c>
      <c r="AO906" t="s">
        <v>6808</v>
      </c>
      <c r="AP906" t="s">
        <v>74</v>
      </c>
      <c r="AQ906" t="s">
        <v>74</v>
      </c>
      <c r="AR906" t="s">
        <v>6809</v>
      </c>
      <c r="AS906" t="s">
        <v>6810</v>
      </c>
      <c r="AT906" t="s">
        <v>12426</v>
      </c>
      <c r="AU906">
        <v>2002</v>
      </c>
      <c r="AV906">
        <v>201</v>
      </c>
      <c r="AW906">
        <v>1</v>
      </c>
      <c r="AX906" t="s">
        <v>74</v>
      </c>
      <c r="AY906" t="s">
        <v>74</v>
      </c>
      <c r="AZ906" t="s">
        <v>74</v>
      </c>
      <c r="BA906" t="s">
        <v>74</v>
      </c>
      <c r="BB906">
        <v>159</v>
      </c>
      <c r="BC906">
        <v>170</v>
      </c>
      <c r="BD906" t="s">
        <v>12441</v>
      </c>
      <c r="BE906" t="s">
        <v>12442</v>
      </c>
      <c r="BF906" t="str">
        <f>HYPERLINK("http://dx.doi.org/10.1016/S0012-821X(02)00662-3","http://dx.doi.org/10.1016/S0012-821X(02)00662-3")</f>
        <v>http://dx.doi.org/10.1016/S0012-821X(02)00662-3</v>
      </c>
      <c r="BG906" t="s">
        <v>74</v>
      </c>
      <c r="BH906" t="s">
        <v>74</v>
      </c>
      <c r="BI906">
        <v>12</v>
      </c>
      <c r="BJ906" t="s">
        <v>2068</v>
      </c>
      <c r="BK906" t="s">
        <v>569</v>
      </c>
      <c r="BL906" t="s">
        <v>2068</v>
      </c>
      <c r="BM906" t="s">
        <v>12429</v>
      </c>
      <c r="BN906" t="s">
        <v>74</v>
      </c>
      <c r="BO906" t="s">
        <v>74</v>
      </c>
      <c r="BP906" t="s">
        <v>74</v>
      </c>
      <c r="BQ906" t="s">
        <v>74</v>
      </c>
      <c r="BR906" t="s">
        <v>98</v>
      </c>
      <c r="BS906" t="s">
        <v>12443</v>
      </c>
      <c r="BT906" t="str">
        <f>HYPERLINK("https%3A%2F%2Fwww.webofscience.com%2Fwos%2Fwoscc%2Ffull-record%2FWOS:000176782800013","View Full Record in Web of Science")</f>
        <v>View Full Record in Web of Science</v>
      </c>
    </row>
    <row r="907" spans="1:72" x14ac:dyDescent="0.15">
      <c r="A907" t="s">
        <v>552</v>
      </c>
      <c r="B907" t="s">
        <v>12444</v>
      </c>
      <c r="C907" t="s">
        <v>74</v>
      </c>
      <c r="D907" t="s">
        <v>74</v>
      </c>
      <c r="E907" t="s">
        <v>74</v>
      </c>
      <c r="F907" t="s">
        <v>12444</v>
      </c>
      <c r="G907" t="s">
        <v>74</v>
      </c>
      <c r="H907" t="s">
        <v>74</v>
      </c>
      <c r="I907" t="s">
        <v>12445</v>
      </c>
      <c r="J907" t="s">
        <v>6799</v>
      </c>
      <c r="K907" t="s">
        <v>74</v>
      </c>
      <c r="L907" t="s">
        <v>74</v>
      </c>
      <c r="M907" t="s">
        <v>78</v>
      </c>
      <c r="N907" t="s">
        <v>775</v>
      </c>
      <c r="O907" t="s">
        <v>74</v>
      </c>
      <c r="P907" t="s">
        <v>74</v>
      </c>
      <c r="Q907" t="s">
        <v>74</v>
      </c>
      <c r="R907" t="s">
        <v>74</v>
      </c>
      <c r="S907" t="s">
        <v>74</v>
      </c>
      <c r="T907" t="s">
        <v>12446</v>
      </c>
      <c r="U907" t="s">
        <v>12447</v>
      </c>
      <c r="V907" t="s">
        <v>12448</v>
      </c>
      <c r="W907" t="s">
        <v>12449</v>
      </c>
      <c r="X907" t="s">
        <v>12450</v>
      </c>
      <c r="Y907" t="s">
        <v>12451</v>
      </c>
      <c r="Z907" t="s">
        <v>74</v>
      </c>
      <c r="AA907" t="s">
        <v>74</v>
      </c>
      <c r="AB907" t="s">
        <v>12452</v>
      </c>
      <c r="AC907" t="s">
        <v>74</v>
      </c>
      <c r="AD907" t="s">
        <v>74</v>
      </c>
      <c r="AE907" t="s">
        <v>74</v>
      </c>
      <c r="AF907" t="s">
        <v>74</v>
      </c>
      <c r="AG907">
        <v>46</v>
      </c>
      <c r="AH907">
        <v>17</v>
      </c>
      <c r="AI907">
        <v>18</v>
      </c>
      <c r="AJ907">
        <v>1</v>
      </c>
      <c r="AK907">
        <v>4</v>
      </c>
      <c r="AL907" t="s">
        <v>1860</v>
      </c>
      <c r="AM907" t="s">
        <v>1861</v>
      </c>
      <c r="AN907" t="s">
        <v>1862</v>
      </c>
      <c r="AO907" t="s">
        <v>6808</v>
      </c>
      <c r="AP907" t="s">
        <v>74</v>
      </c>
      <c r="AQ907" t="s">
        <v>74</v>
      </c>
      <c r="AR907" t="s">
        <v>6809</v>
      </c>
      <c r="AS907" t="s">
        <v>6810</v>
      </c>
      <c r="AT907" t="s">
        <v>12426</v>
      </c>
      <c r="AU907">
        <v>2002</v>
      </c>
      <c r="AV907">
        <v>201</v>
      </c>
      <c r="AW907">
        <v>1</v>
      </c>
      <c r="AX907" t="s">
        <v>74</v>
      </c>
      <c r="AY907" t="s">
        <v>74</v>
      </c>
      <c r="AZ907" t="s">
        <v>74</v>
      </c>
      <c r="BA907" t="s">
        <v>74</v>
      </c>
      <c r="BB907">
        <v>171</v>
      </c>
      <c r="BC907">
        <v>186</v>
      </c>
      <c r="BD907" t="s">
        <v>12453</v>
      </c>
      <c r="BE907" t="s">
        <v>12454</v>
      </c>
      <c r="BF907" t="str">
        <f>HYPERLINK("http://dx.doi.org/10.1016/S0012-821X(02)00688-X","http://dx.doi.org/10.1016/S0012-821X(02)00688-X")</f>
        <v>http://dx.doi.org/10.1016/S0012-821X(02)00688-X</v>
      </c>
      <c r="BG907" t="s">
        <v>74</v>
      </c>
      <c r="BH907" t="s">
        <v>74</v>
      </c>
      <c r="BI907">
        <v>16</v>
      </c>
      <c r="BJ907" t="s">
        <v>2068</v>
      </c>
      <c r="BK907" t="s">
        <v>569</v>
      </c>
      <c r="BL907" t="s">
        <v>2068</v>
      </c>
      <c r="BM907" t="s">
        <v>12429</v>
      </c>
      <c r="BN907" t="s">
        <v>74</v>
      </c>
      <c r="BO907" t="s">
        <v>74</v>
      </c>
      <c r="BP907" t="s">
        <v>74</v>
      </c>
      <c r="BQ907" t="s">
        <v>74</v>
      </c>
      <c r="BR907" t="s">
        <v>98</v>
      </c>
      <c r="BS907" t="s">
        <v>12455</v>
      </c>
      <c r="BT907" t="str">
        <f>HYPERLINK("https%3A%2F%2Fwww.webofscience.com%2Fwos%2Fwoscc%2Ffull-record%2FWOS:000176782800014","View Full Record in Web of Science")</f>
        <v>View Full Record in Web of Science</v>
      </c>
    </row>
    <row r="908" spans="1:72" x14ac:dyDescent="0.15">
      <c r="A908" t="s">
        <v>552</v>
      </c>
      <c r="B908" t="s">
        <v>12456</v>
      </c>
      <c r="C908" t="s">
        <v>74</v>
      </c>
      <c r="D908" t="s">
        <v>74</v>
      </c>
      <c r="E908" t="s">
        <v>74</v>
      </c>
      <c r="F908" t="s">
        <v>12456</v>
      </c>
      <c r="G908" t="s">
        <v>74</v>
      </c>
      <c r="H908" t="s">
        <v>74</v>
      </c>
      <c r="I908" t="s">
        <v>12457</v>
      </c>
      <c r="J908" t="s">
        <v>5162</v>
      </c>
      <c r="K908" t="s">
        <v>74</v>
      </c>
      <c r="L908" t="s">
        <v>74</v>
      </c>
      <c r="M908" t="s">
        <v>78</v>
      </c>
      <c r="N908" t="s">
        <v>775</v>
      </c>
      <c r="O908" t="s">
        <v>74</v>
      </c>
      <c r="P908" t="s">
        <v>74</v>
      </c>
      <c r="Q908" t="s">
        <v>74</v>
      </c>
      <c r="R908" t="s">
        <v>74</v>
      </c>
      <c r="S908" t="s">
        <v>74</v>
      </c>
      <c r="T908" t="s">
        <v>74</v>
      </c>
      <c r="U908" t="s">
        <v>12458</v>
      </c>
      <c r="V908" t="s">
        <v>12459</v>
      </c>
      <c r="W908" t="s">
        <v>12460</v>
      </c>
      <c r="X908" t="s">
        <v>12461</v>
      </c>
      <c r="Y908" t="s">
        <v>12462</v>
      </c>
      <c r="Z908" t="s">
        <v>74</v>
      </c>
      <c r="AA908" t="s">
        <v>12463</v>
      </c>
      <c r="AB908" t="s">
        <v>12464</v>
      </c>
      <c r="AC908" t="s">
        <v>74</v>
      </c>
      <c r="AD908" t="s">
        <v>74</v>
      </c>
      <c r="AE908" t="s">
        <v>74</v>
      </c>
      <c r="AF908" t="s">
        <v>74</v>
      </c>
      <c r="AG908">
        <v>19</v>
      </c>
      <c r="AH908">
        <v>57</v>
      </c>
      <c r="AI908">
        <v>63</v>
      </c>
      <c r="AJ908">
        <v>1</v>
      </c>
      <c r="AK908">
        <v>32</v>
      </c>
      <c r="AL908" t="s">
        <v>387</v>
      </c>
      <c r="AM908" t="s">
        <v>388</v>
      </c>
      <c r="AN908" t="s">
        <v>389</v>
      </c>
      <c r="AO908" t="s">
        <v>5169</v>
      </c>
      <c r="AP908" t="s">
        <v>5170</v>
      </c>
      <c r="AQ908" t="s">
        <v>74</v>
      </c>
      <c r="AR908" t="s">
        <v>5171</v>
      </c>
      <c r="AS908" t="s">
        <v>5172</v>
      </c>
      <c r="AT908" t="s">
        <v>12426</v>
      </c>
      <c r="AU908">
        <v>2002</v>
      </c>
      <c r="AV908">
        <v>29</v>
      </c>
      <c r="AW908">
        <v>14</v>
      </c>
      <c r="AX908" t="s">
        <v>74</v>
      </c>
      <c r="AY908" t="s">
        <v>74</v>
      </c>
      <c r="AZ908" t="s">
        <v>74</v>
      </c>
      <c r="BA908" t="s">
        <v>74</v>
      </c>
      <c r="BB908" t="s">
        <v>74</v>
      </c>
      <c r="BC908" t="s">
        <v>74</v>
      </c>
      <c r="BD908">
        <v>1685</v>
      </c>
      <c r="BE908" t="s">
        <v>12465</v>
      </c>
      <c r="BF908" t="str">
        <f>HYPERLINK("http://dx.doi.org/10.1029/2002GL014879","http://dx.doi.org/10.1029/2002GL014879")</f>
        <v>http://dx.doi.org/10.1029/2002GL014879</v>
      </c>
      <c r="BG908" t="s">
        <v>74</v>
      </c>
      <c r="BH908" t="s">
        <v>74</v>
      </c>
      <c r="BI908">
        <v>4</v>
      </c>
      <c r="BJ908" t="s">
        <v>1813</v>
      </c>
      <c r="BK908" t="s">
        <v>569</v>
      </c>
      <c r="BL908" t="s">
        <v>1814</v>
      </c>
      <c r="BM908" t="s">
        <v>12466</v>
      </c>
      <c r="BN908" t="s">
        <v>74</v>
      </c>
      <c r="BO908" t="s">
        <v>572</v>
      </c>
      <c r="BP908" t="s">
        <v>74</v>
      </c>
      <c r="BQ908" t="s">
        <v>74</v>
      </c>
      <c r="BR908" t="s">
        <v>98</v>
      </c>
      <c r="BS908" t="s">
        <v>12467</v>
      </c>
      <c r="BT908" t="str">
        <f>HYPERLINK("https%3A%2F%2Fwww.webofscience.com%2Fwos%2Fwoscc%2Ffull-record%2FWOS:000178964600021","View Full Record in Web of Science")</f>
        <v>View Full Record in Web of Science</v>
      </c>
    </row>
    <row r="909" spans="1:72" x14ac:dyDescent="0.15">
      <c r="A909" t="s">
        <v>552</v>
      </c>
      <c r="B909" t="s">
        <v>12468</v>
      </c>
      <c r="C909" t="s">
        <v>74</v>
      </c>
      <c r="D909" t="s">
        <v>74</v>
      </c>
      <c r="E909" t="s">
        <v>74</v>
      </c>
      <c r="F909" t="s">
        <v>12468</v>
      </c>
      <c r="G909" t="s">
        <v>74</v>
      </c>
      <c r="H909" t="s">
        <v>74</v>
      </c>
      <c r="I909" t="s">
        <v>12469</v>
      </c>
      <c r="J909" t="s">
        <v>5162</v>
      </c>
      <c r="K909" t="s">
        <v>74</v>
      </c>
      <c r="L909" t="s">
        <v>74</v>
      </c>
      <c r="M909" t="s">
        <v>78</v>
      </c>
      <c r="N909" t="s">
        <v>775</v>
      </c>
      <c r="O909" t="s">
        <v>74</v>
      </c>
      <c r="P909" t="s">
        <v>74</v>
      </c>
      <c r="Q909" t="s">
        <v>74</v>
      </c>
      <c r="R909" t="s">
        <v>74</v>
      </c>
      <c r="S909" t="s">
        <v>74</v>
      </c>
      <c r="T909" t="s">
        <v>74</v>
      </c>
      <c r="U909" t="s">
        <v>12470</v>
      </c>
      <c r="V909" t="s">
        <v>12471</v>
      </c>
      <c r="W909" t="s">
        <v>12472</v>
      </c>
      <c r="X909" t="s">
        <v>12473</v>
      </c>
      <c r="Y909" t="s">
        <v>12474</v>
      </c>
      <c r="Z909" t="s">
        <v>12475</v>
      </c>
      <c r="AA909" t="s">
        <v>12476</v>
      </c>
      <c r="AB909" t="s">
        <v>12477</v>
      </c>
      <c r="AC909" t="s">
        <v>74</v>
      </c>
      <c r="AD909" t="s">
        <v>74</v>
      </c>
      <c r="AE909" t="s">
        <v>74</v>
      </c>
      <c r="AF909" t="s">
        <v>74</v>
      </c>
      <c r="AG909">
        <v>13</v>
      </c>
      <c r="AH909">
        <v>190</v>
      </c>
      <c r="AI909">
        <v>211</v>
      </c>
      <c r="AJ909">
        <v>1</v>
      </c>
      <c r="AK909">
        <v>32</v>
      </c>
      <c r="AL909" t="s">
        <v>387</v>
      </c>
      <c r="AM909" t="s">
        <v>388</v>
      </c>
      <c r="AN909" t="s">
        <v>389</v>
      </c>
      <c r="AO909" t="s">
        <v>5169</v>
      </c>
      <c r="AP909" t="s">
        <v>5170</v>
      </c>
      <c r="AQ909" t="s">
        <v>74</v>
      </c>
      <c r="AR909" t="s">
        <v>5171</v>
      </c>
      <c r="AS909" t="s">
        <v>5172</v>
      </c>
      <c r="AT909" t="s">
        <v>12426</v>
      </c>
      <c r="AU909">
        <v>2002</v>
      </c>
      <c r="AV909">
        <v>29</v>
      </c>
      <c r="AW909">
        <v>14</v>
      </c>
      <c r="AX909" t="s">
        <v>74</v>
      </c>
      <c r="AY909" t="s">
        <v>74</v>
      </c>
      <c r="AZ909" t="s">
        <v>74</v>
      </c>
      <c r="BA909" t="s">
        <v>74</v>
      </c>
      <c r="BB909" t="s">
        <v>74</v>
      </c>
      <c r="BC909" t="s">
        <v>74</v>
      </c>
      <c r="BD909">
        <v>1705</v>
      </c>
      <c r="BE909" t="s">
        <v>12478</v>
      </c>
      <c r="BF909" t="str">
        <f>HYPERLINK("http://dx.doi.org/10.1029/2002GL015415","http://dx.doi.org/10.1029/2002GL015415")</f>
        <v>http://dx.doi.org/10.1029/2002GL015415</v>
      </c>
      <c r="BG909" t="s">
        <v>74</v>
      </c>
      <c r="BH909" t="s">
        <v>74</v>
      </c>
      <c r="BI909">
        <v>4</v>
      </c>
      <c r="BJ909" t="s">
        <v>1813</v>
      </c>
      <c r="BK909" t="s">
        <v>569</v>
      </c>
      <c r="BL909" t="s">
        <v>1814</v>
      </c>
      <c r="BM909" t="s">
        <v>12466</v>
      </c>
      <c r="BN909" t="s">
        <v>74</v>
      </c>
      <c r="BO909" t="s">
        <v>3220</v>
      </c>
      <c r="BP909" t="s">
        <v>74</v>
      </c>
      <c r="BQ909" t="s">
        <v>74</v>
      </c>
      <c r="BR909" t="s">
        <v>98</v>
      </c>
      <c r="BS909" t="s">
        <v>12479</v>
      </c>
      <c r="BT909" t="str">
        <f>HYPERLINK("https%3A%2F%2Fwww.webofscience.com%2Fwos%2Fwoscc%2Ffull-record%2FWOS:000178964600002","View Full Record in Web of Science")</f>
        <v>View Full Record in Web of Science</v>
      </c>
    </row>
    <row r="910" spans="1:72" x14ac:dyDescent="0.15">
      <c r="A910" t="s">
        <v>552</v>
      </c>
      <c r="B910" t="s">
        <v>12480</v>
      </c>
      <c r="C910" t="s">
        <v>74</v>
      </c>
      <c r="D910" t="s">
        <v>74</v>
      </c>
      <c r="E910" t="s">
        <v>74</v>
      </c>
      <c r="F910" t="s">
        <v>12480</v>
      </c>
      <c r="G910" t="s">
        <v>74</v>
      </c>
      <c r="H910" t="s">
        <v>74</v>
      </c>
      <c r="I910" t="s">
        <v>12481</v>
      </c>
      <c r="J910" t="s">
        <v>5162</v>
      </c>
      <c r="K910" t="s">
        <v>74</v>
      </c>
      <c r="L910" t="s">
        <v>74</v>
      </c>
      <c r="M910" t="s">
        <v>78</v>
      </c>
      <c r="N910" t="s">
        <v>775</v>
      </c>
      <c r="O910" t="s">
        <v>74</v>
      </c>
      <c r="P910" t="s">
        <v>74</v>
      </c>
      <c r="Q910" t="s">
        <v>74</v>
      </c>
      <c r="R910" t="s">
        <v>74</v>
      </c>
      <c r="S910" t="s">
        <v>74</v>
      </c>
      <c r="T910" t="s">
        <v>74</v>
      </c>
      <c r="U910" t="s">
        <v>12482</v>
      </c>
      <c r="V910" t="s">
        <v>12483</v>
      </c>
      <c r="W910" t="s">
        <v>12484</v>
      </c>
      <c r="X910" t="s">
        <v>12485</v>
      </c>
      <c r="Y910" t="s">
        <v>12486</v>
      </c>
      <c r="Z910" t="s">
        <v>74</v>
      </c>
      <c r="AA910" t="s">
        <v>12487</v>
      </c>
      <c r="AB910" t="s">
        <v>12488</v>
      </c>
      <c r="AC910" t="s">
        <v>74</v>
      </c>
      <c r="AD910" t="s">
        <v>74</v>
      </c>
      <c r="AE910" t="s">
        <v>74</v>
      </c>
      <c r="AF910" t="s">
        <v>74</v>
      </c>
      <c r="AG910">
        <v>23</v>
      </c>
      <c r="AH910">
        <v>67</v>
      </c>
      <c r="AI910">
        <v>78</v>
      </c>
      <c r="AJ910">
        <v>5</v>
      </c>
      <c r="AK910">
        <v>20</v>
      </c>
      <c r="AL910" t="s">
        <v>387</v>
      </c>
      <c r="AM910" t="s">
        <v>388</v>
      </c>
      <c r="AN910" t="s">
        <v>389</v>
      </c>
      <c r="AO910" t="s">
        <v>5169</v>
      </c>
      <c r="AP910" t="s">
        <v>74</v>
      </c>
      <c r="AQ910" t="s">
        <v>74</v>
      </c>
      <c r="AR910" t="s">
        <v>5171</v>
      </c>
      <c r="AS910" t="s">
        <v>5172</v>
      </c>
      <c r="AT910" t="s">
        <v>12426</v>
      </c>
      <c r="AU910">
        <v>2002</v>
      </c>
      <c r="AV910">
        <v>29</v>
      </c>
      <c r="AW910">
        <v>14</v>
      </c>
      <c r="AX910" t="s">
        <v>74</v>
      </c>
      <c r="AY910" t="s">
        <v>74</v>
      </c>
      <c r="AZ910" t="s">
        <v>74</v>
      </c>
      <c r="BA910" t="s">
        <v>74</v>
      </c>
      <c r="BB910" t="s">
        <v>74</v>
      </c>
      <c r="BC910" t="s">
        <v>74</v>
      </c>
      <c r="BD910">
        <v>1679</v>
      </c>
      <c r="BE910" t="s">
        <v>12489</v>
      </c>
      <c r="BF910" t="str">
        <f>HYPERLINK("http://dx.doi.org/10.1029/2002GL015143","http://dx.doi.org/10.1029/2002GL015143")</f>
        <v>http://dx.doi.org/10.1029/2002GL015143</v>
      </c>
      <c r="BG910" t="s">
        <v>74</v>
      </c>
      <c r="BH910" t="s">
        <v>74</v>
      </c>
      <c r="BI910">
        <v>4</v>
      </c>
      <c r="BJ910" t="s">
        <v>1813</v>
      </c>
      <c r="BK910" t="s">
        <v>569</v>
      </c>
      <c r="BL910" t="s">
        <v>1814</v>
      </c>
      <c r="BM910" t="s">
        <v>12466</v>
      </c>
      <c r="BN910" t="s">
        <v>74</v>
      </c>
      <c r="BO910" t="s">
        <v>572</v>
      </c>
      <c r="BP910" t="s">
        <v>74</v>
      </c>
      <c r="BQ910" t="s">
        <v>74</v>
      </c>
      <c r="BR910" t="s">
        <v>98</v>
      </c>
      <c r="BS910" t="s">
        <v>12490</v>
      </c>
      <c r="BT910" t="str">
        <f>HYPERLINK("https%3A%2F%2Fwww.webofscience.com%2Fwos%2Fwoscc%2Ffull-record%2FWOS:000178964600026","View Full Record in Web of Science")</f>
        <v>View Full Record in Web of Science</v>
      </c>
    </row>
    <row r="911" spans="1:72" x14ac:dyDescent="0.15">
      <c r="A911" t="s">
        <v>552</v>
      </c>
      <c r="B911" t="s">
        <v>12491</v>
      </c>
      <c r="C911" t="s">
        <v>74</v>
      </c>
      <c r="D911" t="s">
        <v>74</v>
      </c>
      <c r="E911" t="s">
        <v>74</v>
      </c>
      <c r="F911" t="s">
        <v>12491</v>
      </c>
      <c r="G911" t="s">
        <v>74</v>
      </c>
      <c r="H911" t="s">
        <v>74</v>
      </c>
      <c r="I911" t="s">
        <v>12492</v>
      </c>
      <c r="J911" t="s">
        <v>6990</v>
      </c>
      <c r="K911" t="s">
        <v>74</v>
      </c>
      <c r="L911" t="s">
        <v>74</v>
      </c>
      <c r="M911" t="s">
        <v>78</v>
      </c>
      <c r="N911" t="s">
        <v>775</v>
      </c>
      <c r="O911" t="s">
        <v>74</v>
      </c>
      <c r="P911" t="s">
        <v>74</v>
      </c>
      <c r="Q911" t="s">
        <v>74</v>
      </c>
      <c r="R911" t="s">
        <v>74</v>
      </c>
      <c r="S911" t="s">
        <v>74</v>
      </c>
      <c r="T911" t="s">
        <v>12493</v>
      </c>
      <c r="U911" t="s">
        <v>12494</v>
      </c>
      <c r="V911" t="s">
        <v>12495</v>
      </c>
      <c r="W911" t="s">
        <v>12496</v>
      </c>
      <c r="X911" t="s">
        <v>12497</v>
      </c>
      <c r="Y911" t="s">
        <v>6407</v>
      </c>
      <c r="Z911" t="s">
        <v>74</v>
      </c>
      <c r="AA911" t="s">
        <v>5293</v>
      </c>
      <c r="AB911" t="s">
        <v>74</v>
      </c>
      <c r="AC911" t="s">
        <v>74</v>
      </c>
      <c r="AD911" t="s">
        <v>74</v>
      </c>
      <c r="AE911" t="s">
        <v>74</v>
      </c>
      <c r="AF911" t="s">
        <v>74</v>
      </c>
      <c r="AG911">
        <v>19</v>
      </c>
      <c r="AH911">
        <v>39</v>
      </c>
      <c r="AI911">
        <v>42</v>
      </c>
      <c r="AJ911">
        <v>1</v>
      </c>
      <c r="AK911">
        <v>13</v>
      </c>
      <c r="AL911" t="s">
        <v>1860</v>
      </c>
      <c r="AM911" t="s">
        <v>1861</v>
      </c>
      <c r="AN911" t="s">
        <v>1862</v>
      </c>
      <c r="AO911" t="s">
        <v>7002</v>
      </c>
      <c r="AP911" t="s">
        <v>74</v>
      </c>
      <c r="AQ911" t="s">
        <v>74</v>
      </c>
      <c r="AR911" t="s">
        <v>7003</v>
      </c>
      <c r="AS911" t="s">
        <v>7004</v>
      </c>
      <c r="AT911" t="s">
        <v>12426</v>
      </c>
      <c r="AU911">
        <v>2002</v>
      </c>
      <c r="AV911">
        <v>36</v>
      </c>
      <c r="AW911" t="s">
        <v>1866</v>
      </c>
      <c r="AX911" t="s">
        <v>74</v>
      </c>
      <c r="AY911" t="s">
        <v>74</v>
      </c>
      <c r="AZ911" t="s">
        <v>74</v>
      </c>
      <c r="BA911" t="s">
        <v>74</v>
      </c>
      <c r="BB911">
        <v>1</v>
      </c>
      <c r="BC911">
        <v>10</v>
      </c>
      <c r="BD911" t="s">
        <v>12498</v>
      </c>
      <c r="BE911" t="s">
        <v>12499</v>
      </c>
      <c r="BF911" t="str">
        <f>HYPERLINK("http://dx.doi.org/10.1016/S0924-7963(02)00131-8","http://dx.doi.org/10.1016/S0924-7963(02)00131-8")</f>
        <v>http://dx.doi.org/10.1016/S0924-7963(02)00131-8</v>
      </c>
      <c r="BG911" t="s">
        <v>74</v>
      </c>
      <c r="BH911" t="s">
        <v>74</v>
      </c>
      <c r="BI911">
        <v>10</v>
      </c>
      <c r="BJ911" t="s">
        <v>7007</v>
      </c>
      <c r="BK911" t="s">
        <v>569</v>
      </c>
      <c r="BL911" t="s">
        <v>7008</v>
      </c>
      <c r="BM911" t="s">
        <v>12500</v>
      </c>
      <c r="BN911" t="s">
        <v>74</v>
      </c>
      <c r="BO911" t="s">
        <v>74</v>
      </c>
      <c r="BP911" t="s">
        <v>74</v>
      </c>
      <c r="BQ911" t="s">
        <v>74</v>
      </c>
      <c r="BR911" t="s">
        <v>98</v>
      </c>
      <c r="BS911" t="s">
        <v>12501</v>
      </c>
      <c r="BT911" t="str">
        <f>HYPERLINK("https%3A%2F%2Fwww.webofscience.com%2Fwos%2Fwoscc%2Ffull-record%2FWOS:000176991900001","View Full Record in Web of Science")</f>
        <v>View Full Record in Web of Science</v>
      </c>
    </row>
    <row r="912" spans="1:72" x14ac:dyDescent="0.15">
      <c r="A912" t="s">
        <v>552</v>
      </c>
      <c r="B912" t="s">
        <v>12502</v>
      </c>
      <c r="C912" t="s">
        <v>74</v>
      </c>
      <c r="D912" t="s">
        <v>74</v>
      </c>
      <c r="E912" t="s">
        <v>74</v>
      </c>
      <c r="F912" t="s">
        <v>12502</v>
      </c>
      <c r="G912" t="s">
        <v>74</v>
      </c>
      <c r="H912" t="s">
        <v>74</v>
      </c>
      <c r="I912" t="s">
        <v>12503</v>
      </c>
      <c r="J912" t="s">
        <v>5130</v>
      </c>
      <c r="K912" t="s">
        <v>74</v>
      </c>
      <c r="L912" t="s">
        <v>74</v>
      </c>
      <c r="M912" t="s">
        <v>78</v>
      </c>
      <c r="N912" t="s">
        <v>775</v>
      </c>
      <c r="O912" t="s">
        <v>74</v>
      </c>
      <c r="P912" t="s">
        <v>74</v>
      </c>
      <c r="Q912" t="s">
        <v>74</v>
      </c>
      <c r="R912" t="s">
        <v>74</v>
      </c>
      <c r="S912" t="s">
        <v>74</v>
      </c>
      <c r="T912" t="s">
        <v>12504</v>
      </c>
      <c r="U912" t="s">
        <v>12505</v>
      </c>
      <c r="V912" t="s">
        <v>12506</v>
      </c>
      <c r="W912" t="s">
        <v>12507</v>
      </c>
      <c r="X912" t="s">
        <v>10724</v>
      </c>
      <c r="Y912" t="s">
        <v>12508</v>
      </c>
      <c r="Z912" t="s">
        <v>74</v>
      </c>
      <c r="AA912" t="s">
        <v>12509</v>
      </c>
      <c r="AB912" t="s">
        <v>74</v>
      </c>
      <c r="AC912" t="s">
        <v>74</v>
      </c>
      <c r="AD912" t="s">
        <v>74</v>
      </c>
      <c r="AE912" t="s">
        <v>74</v>
      </c>
      <c r="AF912" t="s">
        <v>74</v>
      </c>
      <c r="AG912">
        <v>51</v>
      </c>
      <c r="AH912">
        <v>49</v>
      </c>
      <c r="AI912">
        <v>53</v>
      </c>
      <c r="AJ912">
        <v>4</v>
      </c>
      <c r="AK912">
        <v>19</v>
      </c>
      <c r="AL912" t="s">
        <v>1860</v>
      </c>
      <c r="AM912" t="s">
        <v>1861</v>
      </c>
      <c r="AN912" t="s">
        <v>1862</v>
      </c>
      <c r="AO912" t="s">
        <v>5139</v>
      </c>
      <c r="AP912" t="s">
        <v>74</v>
      </c>
      <c r="AQ912" t="s">
        <v>74</v>
      </c>
      <c r="AR912" t="s">
        <v>5141</v>
      </c>
      <c r="AS912" t="s">
        <v>5142</v>
      </c>
      <c r="AT912" t="s">
        <v>12510</v>
      </c>
      <c r="AU912">
        <v>2002</v>
      </c>
      <c r="AV912">
        <v>186</v>
      </c>
      <c r="AW912" t="s">
        <v>1424</v>
      </c>
      <c r="AX912" t="s">
        <v>74</v>
      </c>
      <c r="AY912" t="s">
        <v>74</v>
      </c>
      <c r="AZ912" t="s">
        <v>74</v>
      </c>
      <c r="BA912" t="s">
        <v>74</v>
      </c>
      <c r="BB912">
        <v>263</v>
      </c>
      <c r="BC912">
        <v>280</v>
      </c>
      <c r="BD912" t="s">
        <v>12511</v>
      </c>
      <c r="BE912" t="s">
        <v>12512</v>
      </c>
      <c r="BF912" t="str">
        <f>HYPERLINK("http://dx.doi.org/10.1016/S0025-3227(02)00210-4","http://dx.doi.org/10.1016/S0025-3227(02)00210-4")</f>
        <v>http://dx.doi.org/10.1016/S0025-3227(02)00210-4</v>
      </c>
      <c r="BG912" t="s">
        <v>74</v>
      </c>
      <c r="BH912" t="s">
        <v>74</v>
      </c>
      <c r="BI912">
        <v>18</v>
      </c>
      <c r="BJ912" t="s">
        <v>5146</v>
      </c>
      <c r="BK912" t="s">
        <v>569</v>
      </c>
      <c r="BL912" t="s">
        <v>5147</v>
      </c>
      <c r="BM912" t="s">
        <v>12513</v>
      </c>
      <c r="BN912" t="s">
        <v>74</v>
      </c>
      <c r="BO912" t="s">
        <v>74</v>
      </c>
      <c r="BP912" t="s">
        <v>74</v>
      </c>
      <c r="BQ912" t="s">
        <v>74</v>
      </c>
      <c r="BR912" t="s">
        <v>98</v>
      </c>
      <c r="BS912" t="s">
        <v>12514</v>
      </c>
      <c r="BT912" t="str">
        <f>HYPERLINK("https%3A%2F%2Fwww.webofscience.com%2Fwos%2Fwoscc%2Ffull-record%2FWOS:000177362800005","View Full Record in Web of Science")</f>
        <v>View Full Record in Web of Science</v>
      </c>
    </row>
    <row r="913" spans="1:72" x14ac:dyDescent="0.15">
      <c r="A913" t="s">
        <v>552</v>
      </c>
      <c r="B913" t="s">
        <v>12515</v>
      </c>
      <c r="C913" t="s">
        <v>74</v>
      </c>
      <c r="D913" t="s">
        <v>74</v>
      </c>
      <c r="E913" t="s">
        <v>74</v>
      </c>
      <c r="F913" t="s">
        <v>12515</v>
      </c>
      <c r="G913" t="s">
        <v>74</v>
      </c>
      <c r="H913" t="s">
        <v>74</v>
      </c>
      <c r="I913" t="s">
        <v>12516</v>
      </c>
      <c r="J913" t="s">
        <v>5130</v>
      </c>
      <c r="K913" t="s">
        <v>74</v>
      </c>
      <c r="L913" t="s">
        <v>74</v>
      </c>
      <c r="M913" t="s">
        <v>78</v>
      </c>
      <c r="N913" t="s">
        <v>775</v>
      </c>
      <c r="O913" t="s">
        <v>74</v>
      </c>
      <c r="P913" t="s">
        <v>74</v>
      </c>
      <c r="Q913" t="s">
        <v>74</v>
      </c>
      <c r="R913" t="s">
        <v>74</v>
      </c>
      <c r="S913" t="s">
        <v>74</v>
      </c>
      <c r="T913" t="s">
        <v>12517</v>
      </c>
      <c r="U913" t="s">
        <v>74</v>
      </c>
      <c r="V913" t="s">
        <v>12518</v>
      </c>
      <c r="W913" t="s">
        <v>12519</v>
      </c>
      <c r="X913" t="s">
        <v>12520</v>
      </c>
      <c r="Y913" t="s">
        <v>12521</v>
      </c>
      <c r="Z913" t="s">
        <v>12522</v>
      </c>
      <c r="AA913" t="s">
        <v>74</v>
      </c>
      <c r="AB913" t="s">
        <v>74</v>
      </c>
      <c r="AC913" t="s">
        <v>74</v>
      </c>
      <c r="AD913" t="s">
        <v>74</v>
      </c>
      <c r="AE913" t="s">
        <v>74</v>
      </c>
      <c r="AF913" t="s">
        <v>74</v>
      </c>
      <c r="AG913">
        <v>23</v>
      </c>
      <c r="AH913">
        <v>43</v>
      </c>
      <c r="AI913">
        <v>47</v>
      </c>
      <c r="AJ913">
        <v>0</v>
      </c>
      <c r="AK913">
        <v>5</v>
      </c>
      <c r="AL913" t="s">
        <v>3155</v>
      </c>
      <c r="AM913" t="s">
        <v>1861</v>
      </c>
      <c r="AN913" t="s">
        <v>3156</v>
      </c>
      <c r="AO913" t="s">
        <v>5139</v>
      </c>
      <c r="AP913" t="s">
        <v>5140</v>
      </c>
      <c r="AQ913" t="s">
        <v>74</v>
      </c>
      <c r="AR913" t="s">
        <v>5141</v>
      </c>
      <c r="AS913" t="s">
        <v>5142</v>
      </c>
      <c r="AT913" t="s">
        <v>12510</v>
      </c>
      <c r="AU913">
        <v>2002</v>
      </c>
      <c r="AV913">
        <v>186</v>
      </c>
      <c r="AW913" t="s">
        <v>1424</v>
      </c>
      <c r="AX913" t="s">
        <v>74</v>
      </c>
      <c r="AY913" t="s">
        <v>74</v>
      </c>
      <c r="AZ913" t="s">
        <v>74</v>
      </c>
      <c r="BA913" t="s">
        <v>74</v>
      </c>
      <c r="BB913">
        <v>413</v>
      </c>
      <c r="BC913">
        <v>422</v>
      </c>
      <c r="BD913" t="s">
        <v>12523</v>
      </c>
      <c r="BE913" t="s">
        <v>12524</v>
      </c>
      <c r="BF913" t="str">
        <f>HYPERLINK("http://dx.doi.org/10.1016/S0025-3227(02)00190-1","http://dx.doi.org/10.1016/S0025-3227(02)00190-1")</f>
        <v>http://dx.doi.org/10.1016/S0025-3227(02)00190-1</v>
      </c>
      <c r="BG913" t="s">
        <v>74</v>
      </c>
      <c r="BH913" t="s">
        <v>74</v>
      </c>
      <c r="BI913">
        <v>10</v>
      </c>
      <c r="BJ913" t="s">
        <v>5146</v>
      </c>
      <c r="BK913" t="s">
        <v>569</v>
      </c>
      <c r="BL913" t="s">
        <v>5147</v>
      </c>
      <c r="BM913" t="s">
        <v>12513</v>
      </c>
      <c r="BN913" t="s">
        <v>74</v>
      </c>
      <c r="BO913" t="s">
        <v>74</v>
      </c>
      <c r="BP913" t="s">
        <v>74</v>
      </c>
      <c r="BQ913" t="s">
        <v>74</v>
      </c>
      <c r="BR913" t="s">
        <v>98</v>
      </c>
      <c r="BS913" t="s">
        <v>12525</v>
      </c>
      <c r="BT913" t="str">
        <f>HYPERLINK("https%3A%2F%2Fwww.webofscience.com%2Fwos%2Fwoscc%2Ffull-record%2FWOS:000177362800013","View Full Record in Web of Science")</f>
        <v>View Full Record in Web of Science</v>
      </c>
    </row>
    <row r="914" spans="1:72" x14ac:dyDescent="0.15">
      <c r="A914" t="s">
        <v>552</v>
      </c>
      <c r="B914" t="s">
        <v>12526</v>
      </c>
      <c r="C914" t="s">
        <v>74</v>
      </c>
      <c r="D914" t="s">
        <v>74</v>
      </c>
      <c r="E914" t="s">
        <v>74</v>
      </c>
      <c r="F914" t="s">
        <v>12526</v>
      </c>
      <c r="G914" t="s">
        <v>74</v>
      </c>
      <c r="H914" t="s">
        <v>74</v>
      </c>
      <c r="I914" t="s">
        <v>12527</v>
      </c>
      <c r="J914" t="s">
        <v>5130</v>
      </c>
      <c r="K914" t="s">
        <v>74</v>
      </c>
      <c r="L914" t="s">
        <v>74</v>
      </c>
      <c r="M914" t="s">
        <v>78</v>
      </c>
      <c r="N914" t="s">
        <v>775</v>
      </c>
      <c r="O914" t="s">
        <v>74</v>
      </c>
      <c r="P914" t="s">
        <v>74</v>
      </c>
      <c r="Q914" t="s">
        <v>74</v>
      </c>
      <c r="R914" t="s">
        <v>74</v>
      </c>
      <c r="S914" t="s">
        <v>74</v>
      </c>
      <c r="T914" t="s">
        <v>12528</v>
      </c>
      <c r="U914" t="s">
        <v>12529</v>
      </c>
      <c r="V914" t="s">
        <v>12530</v>
      </c>
      <c r="W914" t="s">
        <v>12531</v>
      </c>
      <c r="X914" t="s">
        <v>74</v>
      </c>
      <c r="Y914" t="s">
        <v>12532</v>
      </c>
      <c r="Z914" t="s">
        <v>74</v>
      </c>
      <c r="AA914" t="s">
        <v>74</v>
      </c>
      <c r="AB914" t="s">
        <v>74</v>
      </c>
      <c r="AC914" t="s">
        <v>74</v>
      </c>
      <c r="AD914" t="s">
        <v>74</v>
      </c>
      <c r="AE914" t="s">
        <v>74</v>
      </c>
      <c r="AF914" t="s">
        <v>74</v>
      </c>
      <c r="AG914">
        <v>51</v>
      </c>
      <c r="AH914">
        <v>24</v>
      </c>
      <c r="AI914">
        <v>24</v>
      </c>
      <c r="AJ914">
        <v>0</v>
      </c>
      <c r="AK914">
        <v>4</v>
      </c>
      <c r="AL914" t="s">
        <v>1860</v>
      </c>
      <c r="AM914" t="s">
        <v>1861</v>
      </c>
      <c r="AN914" t="s">
        <v>1862</v>
      </c>
      <c r="AO914" t="s">
        <v>5139</v>
      </c>
      <c r="AP914" t="s">
        <v>74</v>
      </c>
      <c r="AQ914" t="s">
        <v>74</v>
      </c>
      <c r="AR914" t="s">
        <v>5141</v>
      </c>
      <c r="AS914" t="s">
        <v>5142</v>
      </c>
      <c r="AT914" t="s">
        <v>12510</v>
      </c>
      <c r="AU914">
        <v>2002</v>
      </c>
      <c r="AV914">
        <v>186</v>
      </c>
      <c r="AW914" t="s">
        <v>1424</v>
      </c>
      <c r="AX914" t="s">
        <v>74</v>
      </c>
      <c r="AY914" t="s">
        <v>74</v>
      </c>
      <c r="AZ914" t="s">
        <v>74</v>
      </c>
      <c r="BA914" t="s">
        <v>74</v>
      </c>
      <c r="BB914">
        <v>471</v>
      </c>
      <c r="BC914">
        <v>486</v>
      </c>
      <c r="BD914" t="s">
        <v>12533</v>
      </c>
      <c r="BE914" t="s">
        <v>12534</v>
      </c>
      <c r="BF914" t="str">
        <f>HYPERLINK("http://dx.doi.org/10.1016/S0025-3227(02)00333-X","http://dx.doi.org/10.1016/S0025-3227(02)00333-X")</f>
        <v>http://dx.doi.org/10.1016/S0025-3227(02)00333-X</v>
      </c>
      <c r="BG914" t="s">
        <v>74</v>
      </c>
      <c r="BH914" t="s">
        <v>74</v>
      </c>
      <c r="BI914">
        <v>16</v>
      </c>
      <c r="BJ914" t="s">
        <v>5146</v>
      </c>
      <c r="BK914" t="s">
        <v>569</v>
      </c>
      <c r="BL914" t="s">
        <v>5147</v>
      </c>
      <c r="BM914" t="s">
        <v>12513</v>
      </c>
      <c r="BN914" t="s">
        <v>74</v>
      </c>
      <c r="BO914" t="s">
        <v>74</v>
      </c>
      <c r="BP914" t="s">
        <v>74</v>
      </c>
      <c r="BQ914" t="s">
        <v>74</v>
      </c>
      <c r="BR914" t="s">
        <v>98</v>
      </c>
      <c r="BS914" t="s">
        <v>12535</v>
      </c>
      <c r="BT914" t="str">
        <f>HYPERLINK("https%3A%2F%2Fwww.webofscience.com%2Fwos%2Fwoscc%2Ffull-record%2FWOS:000177362800016","View Full Record in Web of Science")</f>
        <v>View Full Record in Web of Science</v>
      </c>
    </row>
    <row r="915" spans="1:72" x14ac:dyDescent="0.15">
      <c r="A915" t="s">
        <v>552</v>
      </c>
      <c r="B915" t="s">
        <v>12536</v>
      </c>
      <c r="C915" t="s">
        <v>74</v>
      </c>
      <c r="D915" t="s">
        <v>74</v>
      </c>
      <c r="E915" t="s">
        <v>74</v>
      </c>
      <c r="F915" t="s">
        <v>12536</v>
      </c>
      <c r="G915" t="s">
        <v>74</v>
      </c>
      <c r="H915" t="s">
        <v>74</v>
      </c>
      <c r="I915" t="s">
        <v>12537</v>
      </c>
      <c r="J915" t="s">
        <v>5130</v>
      </c>
      <c r="K915" t="s">
        <v>74</v>
      </c>
      <c r="L915" t="s">
        <v>74</v>
      </c>
      <c r="M915" t="s">
        <v>78</v>
      </c>
      <c r="N915" t="s">
        <v>775</v>
      </c>
      <c r="O915" t="s">
        <v>74</v>
      </c>
      <c r="P915" t="s">
        <v>74</v>
      </c>
      <c r="Q915" t="s">
        <v>74</v>
      </c>
      <c r="R915" t="s">
        <v>74</v>
      </c>
      <c r="S915" t="s">
        <v>74</v>
      </c>
      <c r="T915" t="s">
        <v>12538</v>
      </c>
      <c r="U915" t="s">
        <v>12539</v>
      </c>
      <c r="V915" t="s">
        <v>12540</v>
      </c>
      <c r="W915" t="s">
        <v>12541</v>
      </c>
      <c r="X915" t="s">
        <v>12542</v>
      </c>
      <c r="Y915" t="s">
        <v>12543</v>
      </c>
      <c r="Z915" t="s">
        <v>12544</v>
      </c>
      <c r="AA915" t="s">
        <v>12545</v>
      </c>
      <c r="AB915" t="s">
        <v>12546</v>
      </c>
      <c r="AC915" t="s">
        <v>74</v>
      </c>
      <c r="AD915" t="s">
        <v>74</v>
      </c>
      <c r="AE915" t="s">
        <v>74</v>
      </c>
      <c r="AF915" t="s">
        <v>74</v>
      </c>
      <c r="AG915">
        <v>48</v>
      </c>
      <c r="AH915">
        <v>40</v>
      </c>
      <c r="AI915">
        <v>42</v>
      </c>
      <c r="AJ915">
        <v>1</v>
      </c>
      <c r="AK915">
        <v>19</v>
      </c>
      <c r="AL915" t="s">
        <v>1860</v>
      </c>
      <c r="AM915" t="s">
        <v>1861</v>
      </c>
      <c r="AN915" t="s">
        <v>1862</v>
      </c>
      <c r="AO915" t="s">
        <v>5139</v>
      </c>
      <c r="AP915" t="s">
        <v>74</v>
      </c>
      <c r="AQ915" t="s">
        <v>74</v>
      </c>
      <c r="AR915" t="s">
        <v>5141</v>
      </c>
      <c r="AS915" t="s">
        <v>5142</v>
      </c>
      <c r="AT915" t="s">
        <v>12510</v>
      </c>
      <c r="AU915">
        <v>2002</v>
      </c>
      <c r="AV915">
        <v>186</v>
      </c>
      <c r="AW915" t="s">
        <v>1424</v>
      </c>
      <c r="AX915" t="s">
        <v>74</v>
      </c>
      <c r="AY915" t="s">
        <v>74</v>
      </c>
      <c r="AZ915" t="s">
        <v>74</v>
      </c>
      <c r="BA915" t="s">
        <v>74</v>
      </c>
      <c r="BB915">
        <v>487</v>
      </c>
      <c r="BC915">
        <v>504</v>
      </c>
      <c r="BD915" t="s">
        <v>12547</v>
      </c>
      <c r="BE915" t="s">
        <v>12548</v>
      </c>
      <c r="BF915" t="str">
        <f>HYPERLINK("http://dx.doi.org/10.1016/S0025-3227(02)00331-6","http://dx.doi.org/10.1016/S0025-3227(02)00331-6")</f>
        <v>http://dx.doi.org/10.1016/S0025-3227(02)00331-6</v>
      </c>
      <c r="BG915" t="s">
        <v>74</v>
      </c>
      <c r="BH915" t="s">
        <v>74</v>
      </c>
      <c r="BI915">
        <v>18</v>
      </c>
      <c r="BJ915" t="s">
        <v>5146</v>
      </c>
      <c r="BK915" t="s">
        <v>569</v>
      </c>
      <c r="BL915" t="s">
        <v>5147</v>
      </c>
      <c r="BM915" t="s">
        <v>12513</v>
      </c>
      <c r="BN915" t="s">
        <v>74</v>
      </c>
      <c r="BO915" t="s">
        <v>74</v>
      </c>
      <c r="BP915" t="s">
        <v>74</v>
      </c>
      <c r="BQ915" t="s">
        <v>74</v>
      </c>
      <c r="BR915" t="s">
        <v>98</v>
      </c>
      <c r="BS915" t="s">
        <v>12549</v>
      </c>
      <c r="BT915" t="str">
        <f>HYPERLINK("https%3A%2F%2Fwww.webofscience.com%2Fwos%2Fwoscc%2Ffull-record%2FWOS:000177362800017","View Full Record in Web of Science")</f>
        <v>View Full Record in Web of Science</v>
      </c>
    </row>
    <row r="916" spans="1:72" x14ac:dyDescent="0.15">
      <c r="A916" t="s">
        <v>552</v>
      </c>
      <c r="B916" t="s">
        <v>12550</v>
      </c>
      <c r="C916" t="s">
        <v>74</v>
      </c>
      <c r="D916" t="s">
        <v>74</v>
      </c>
      <c r="E916" t="s">
        <v>74</v>
      </c>
      <c r="F916" t="s">
        <v>12550</v>
      </c>
      <c r="G916" t="s">
        <v>74</v>
      </c>
      <c r="H916" t="s">
        <v>74</v>
      </c>
      <c r="I916" t="s">
        <v>12551</v>
      </c>
      <c r="J916" t="s">
        <v>4134</v>
      </c>
      <c r="K916" t="s">
        <v>74</v>
      </c>
      <c r="L916" t="s">
        <v>74</v>
      </c>
      <c r="M916" t="s">
        <v>78</v>
      </c>
      <c r="N916" t="s">
        <v>775</v>
      </c>
      <c r="O916" t="s">
        <v>74</v>
      </c>
      <c r="P916" t="s">
        <v>74</v>
      </c>
      <c r="Q916" t="s">
        <v>74</v>
      </c>
      <c r="R916" t="s">
        <v>74</v>
      </c>
      <c r="S916" t="s">
        <v>74</v>
      </c>
      <c r="T916" t="s">
        <v>12552</v>
      </c>
      <c r="U916" t="s">
        <v>12553</v>
      </c>
      <c r="V916" t="s">
        <v>12554</v>
      </c>
      <c r="W916" t="s">
        <v>12555</v>
      </c>
      <c r="X916" t="s">
        <v>12556</v>
      </c>
      <c r="Y916" t="s">
        <v>12557</v>
      </c>
      <c r="Z916" t="s">
        <v>12558</v>
      </c>
      <c r="AA916" t="s">
        <v>12559</v>
      </c>
      <c r="AB916" t="s">
        <v>12560</v>
      </c>
      <c r="AC916" t="s">
        <v>74</v>
      </c>
      <c r="AD916" t="s">
        <v>74</v>
      </c>
      <c r="AE916" t="s">
        <v>74</v>
      </c>
      <c r="AF916" t="s">
        <v>74</v>
      </c>
      <c r="AG916">
        <v>50</v>
      </c>
      <c r="AH916">
        <v>86</v>
      </c>
      <c r="AI916">
        <v>99</v>
      </c>
      <c r="AJ916">
        <v>0</v>
      </c>
      <c r="AK916">
        <v>15</v>
      </c>
      <c r="AL916" t="s">
        <v>3155</v>
      </c>
      <c r="AM916" t="s">
        <v>1861</v>
      </c>
      <c r="AN916" t="s">
        <v>3156</v>
      </c>
      <c r="AO916" t="s">
        <v>4142</v>
      </c>
      <c r="AP916" t="s">
        <v>8067</v>
      </c>
      <c r="AQ916" t="s">
        <v>74</v>
      </c>
      <c r="AR916" t="s">
        <v>4143</v>
      </c>
      <c r="AS916" t="s">
        <v>4144</v>
      </c>
      <c r="AT916" t="s">
        <v>12510</v>
      </c>
      <c r="AU916">
        <v>2002</v>
      </c>
      <c r="AV916">
        <v>182</v>
      </c>
      <c r="AW916" t="s">
        <v>1424</v>
      </c>
      <c r="AX916" t="s">
        <v>74</v>
      </c>
      <c r="AY916" t="s">
        <v>74</v>
      </c>
      <c r="AZ916" t="s">
        <v>74</v>
      </c>
      <c r="BA916" t="s">
        <v>74</v>
      </c>
      <c r="BB916">
        <v>151</v>
      </c>
      <c r="BC916">
        <v>164</v>
      </c>
      <c r="BD916" t="s">
        <v>12561</v>
      </c>
      <c r="BE916" t="s">
        <v>12562</v>
      </c>
      <c r="BF916" t="str">
        <f>HYPERLINK("http://dx.doi.org/10.1016/S0031-0182(01)00493-X","http://dx.doi.org/10.1016/S0031-0182(01)00493-X")</f>
        <v>http://dx.doi.org/10.1016/S0031-0182(01)00493-X</v>
      </c>
      <c r="BG916" t="s">
        <v>74</v>
      </c>
      <c r="BH916" t="s">
        <v>74</v>
      </c>
      <c r="BI916">
        <v>14</v>
      </c>
      <c r="BJ916" t="s">
        <v>4147</v>
      </c>
      <c r="BK916" t="s">
        <v>569</v>
      </c>
      <c r="BL916" t="s">
        <v>4148</v>
      </c>
      <c r="BM916" t="s">
        <v>12563</v>
      </c>
      <c r="BN916" t="s">
        <v>74</v>
      </c>
      <c r="BO916" t="s">
        <v>74</v>
      </c>
      <c r="BP916" t="s">
        <v>74</v>
      </c>
      <c r="BQ916" t="s">
        <v>74</v>
      </c>
      <c r="BR916" t="s">
        <v>98</v>
      </c>
      <c r="BS916" t="s">
        <v>12564</v>
      </c>
      <c r="BT916" t="str">
        <f>HYPERLINK("https%3A%2F%2Fwww.webofscience.com%2Fwos%2Fwoscc%2Ffull-record%2FWOS:000176642100002","View Full Record in Web of Science")</f>
        <v>View Full Record in Web of Science</v>
      </c>
    </row>
    <row r="917" spans="1:72" x14ac:dyDescent="0.15">
      <c r="A917" t="s">
        <v>552</v>
      </c>
      <c r="B917" t="s">
        <v>12565</v>
      </c>
      <c r="C917" t="s">
        <v>74</v>
      </c>
      <c r="D917" t="s">
        <v>74</v>
      </c>
      <c r="E917" t="s">
        <v>74</v>
      </c>
      <c r="F917" t="s">
        <v>12565</v>
      </c>
      <c r="G917" t="s">
        <v>74</v>
      </c>
      <c r="H917" t="s">
        <v>74</v>
      </c>
      <c r="I917" t="s">
        <v>12566</v>
      </c>
      <c r="J917" t="s">
        <v>4134</v>
      </c>
      <c r="K917" t="s">
        <v>74</v>
      </c>
      <c r="L917" t="s">
        <v>74</v>
      </c>
      <c r="M917" t="s">
        <v>78</v>
      </c>
      <c r="N917" t="s">
        <v>775</v>
      </c>
      <c r="O917" t="s">
        <v>74</v>
      </c>
      <c r="P917" t="s">
        <v>74</v>
      </c>
      <c r="Q917" t="s">
        <v>74</v>
      </c>
      <c r="R917" t="s">
        <v>74</v>
      </c>
      <c r="S917" t="s">
        <v>74</v>
      </c>
      <c r="T917" t="s">
        <v>12567</v>
      </c>
      <c r="U917" t="s">
        <v>12568</v>
      </c>
      <c r="V917" t="s">
        <v>12569</v>
      </c>
      <c r="W917" t="s">
        <v>12570</v>
      </c>
      <c r="X917" t="s">
        <v>12571</v>
      </c>
      <c r="Y917" t="s">
        <v>12572</v>
      </c>
      <c r="Z917" t="s">
        <v>74</v>
      </c>
      <c r="AA917" t="s">
        <v>74</v>
      </c>
      <c r="AB917" t="s">
        <v>12573</v>
      </c>
      <c r="AC917" t="s">
        <v>74</v>
      </c>
      <c r="AD917" t="s">
        <v>74</v>
      </c>
      <c r="AE917" t="s">
        <v>74</v>
      </c>
      <c r="AF917" t="s">
        <v>74</v>
      </c>
      <c r="AG917">
        <v>48</v>
      </c>
      <c r="AH917">
        <v>15</v>
      </c>
      <c r="AI917">
        <v>18</v>
      </c>
      <c r="AJ917">
        <v>2</v>
      </c>
      <c r="AK917">
        <v>17</v>
      </c>
      <c r="AL917" t="s">
        <v>1860</v>
      </c>
      <c r="AM917" t="s">
        <v>1861</v>
      </c>
      <c r="AN917" t="s">
        <v>1862</v>
      </c>
      <c r="AO917" t="s">
        <v>4142</v>
      </c>
      <c r="AP917" t="s">
        <v>74</v>
      </c>
      <c r="AQ917" t="s">
        <v>74</v>
      </c>
      <c r="AR917" t="s">
        <v>4143</v>
      </c>
      <c r="AS917" t="s">
        <v>4144</v>
      </c>
      <c r="AT917" t="s">
        <v>12510</v>
      </c>
      <c r="AU917">
        <v>2002</v>
      </c>
      <c r="AV917">
        <v>182</v>
      </c>
      <c r="AW917" t="s">
        <v>1424</v>
      </c>
      <c r="AX917" t="s">
        <v>74</v>
      </c>
      <c r="AY917" t="s">
        <v>74</v>
      </c>
      <c r="AZ917" t="s">
        <v>74</v>
      </c>
      <c r="BA917" t="s">
        <v>74</v>
      </c>
      <c r="BB917">
        <v>165</v>
      </c>
      <c r="BC917">
        <v>181</v>
      </c>
      <c r="BD917" t="s">
        <v>12574</v>
      </c>
      <c r="BE917" t="s">
        <v>12575</v>
      </c>
      <c r="BF917" t="str">
        <f>HYPERLINK("http://dx.doi.org/10.1016/S0031-0182(01)00494-1","http://dx.doi.org/10.1016/S0031-0182(01)00494-1")</f>
        <v>http://dx.doi.org/10.1016/S0031-0182(01)00494-1</v>
      </c>
      <c r="BG917" t="s">
        <v>74</v>
      </c>
      <c r="BH917" t="s">
        <v>74</v>
      </c>
      <c r="BI917">
        <v>17</v>
      </c>
      <c r="BJ917" t="s">
        <v>4147</v>
      </c>
      <c r="BK917" t="s">
        <v>569</v>
      </c>
      <c r="BL917" t="s">
        <v>4148</v>
      </c>
      <c r="BM917" t="s">
        <v>12563</v>
      </c>
      <c r="BN917" t="s">
        <v>74</v>
      </c>
      <c r="BO917" t="s">
        <v>74</v>
      </c>
      <c r="BP917" t="s">
        <v>74</v>
      </c>
      <c r="BQ917" t="s">
        <v>74</v>
      </c>
      <c r="BR917" t="s">
        <v>98</v>
      </c>
      <c r="BS917" t="s">
        <v>12576</v>
      </c>
      <c r="BT917" t="str">
        <f>HYPERLINK("https%3A%2F%2Fwww.webofscience.com%2Fwos%2Fwoscc%2Ffull-record%2FWOS:000176642100003","View Full Record in Web of Science")</f>
        <v>View Full Record in Web of Science</v>
      </c>
    </row>
    <row r="918" spans="1:72" x14ac:dyDescent="0.15">
      <c r="A918" t="s">
        <v>552</v>
      </c>
      <c r="B918" t="s">
        <v>12577</v>
      </c>
      <c r="C918" t="s">
        <v>74</v>
      </c>
      <c r="D918" t="s">
        <v>74</v>
      </c>
      <c r="E918" t="s">
        <v>74</v>
      </c>
      <c r="F918" t="s">
        <v>12577</v>
      </c>
      <c r="G918" t="s">
        <v>74</v>
      </c>
      <c r="H918" t="s">
        <v>74</v>
      </c>
      <c r="I918" t="s">
        <v>12578</v>
      </c>
      <c r="J918" t="s">
        <v>4134</v>
      </c>
      <c r="K918" t="s">
        <v>74</v>
      </c>
      <c r="L918" t="s">
        <v>74</v>
      </c>
      <c r="M918" t="s">
        <v>78</v>
      </c>
      <c r="N918" t="s">
        <v>775</v>
      </c>
      <c r="O918" t="s">
        <v>74</v>
      </c>
      <c r="P918" t="s">
        <v>74</v>
      </c>
      <c r="Q918" t="s">
        <v>74</v>
      </c>
      <c r="R918" t="s">
        <v>74</v>
      </c>
      <c r="S918" t="s">
        <v>74</v>
      </c>
      <c r="T918" t="s">
        <v>12579</v>
      </c>
      <c r="U918" t="s">
        <v>12580</v>
      </c>
      <c r="V918" t="s">
        <v>12581</v>
      </c>
      <c r="W918" t="s">
        <v>12582</v>
      </c>
      <c r="X918" t="s">
        <v>12583</v>
      </c>
      <c r="Y918" t="s">
        <v>12584</v>
      </c>
      <c r="Z918" t="s">
        <v>12585</v>
      </c>
      <c r="AA918" t="s">
        <v>74</v>
      </c>
      <c r="AB918" t="s">
        <v>12573</v>
      </c>
      <c r="AC918" t="s">
        <v>74</v>
      </c>
      <c r="AD918" t="s">
        <v>74</v>
      </c>
      <c r="AE918" t="s">
        <v>74</v>
      </c>
      <c r="AF918" t="s">
        <v>74</v>
      </c>
      <c r="AG918">
        <v>44</v>
      </c>
      <c r="AH918">
        <v>17</v>
      </c>
      <c r="AI918">
        <v>22</v>
      </c>
      <c r="AJ918">
        <v>2</v>
      </c>
      <c r="AK918">
        <v>9</v>
      </c>
      <c r="AL918" t="s">
        <v>1860</v>
      </c>
      <c r="AM918" t="s">
        <v>1861</v>
      </c>
      <c r="AN918" t="s">
        <v>1862</v>
      </c>
      <c r="AO918" t="s">
        <v>4142</v>
      </c>
      <c r="AP918" t="s">
        <v>8067</v>
      </c>
      <c r="AQ918" t="s">
        <v>74</v>
      </c>
      <c r="AR918" t="s">
        <v>4143</v>
      </c>
      <c r="AS918" t="s">
        <v>4144</v>
      </c>
      <c r="AT918" t="s">
        <v>12510</v>
      </c>
      <c r="AU918">
        <v>2002</v>
      </c>
      <c r="AV918">
        <v>182</v>
      </c>
      <c r="AW918" t="s">
        <v>1424</v>
      </c>
      <c r="AX918" t="s">
        <v>74</v>
      </c>
      <c r="AY918" t="s">
        <v>74</v>
      </c>
      <c r="AZ918" t="s">
        <v>74</v>
      </c>
      <c r="BA918" t="s">
        <v>74</v>
      </c>
      <c r="BB918">
        <v>183</v>
      </c>
      <c r="BC918">
        <v>196</v>
      </c>
      <c r="BD918" t="s">
        <v>12586</v>
      </c>
      <c r="BE918" t="s">
        <v>12587</v>
      </c>
      <c r="BF918" t="str">
        <f>HYPERLINK("http://dx.doi.org/10.1016/S0031-0182(01)00495-3","http://dx.doi.org/10.1016/S0031-0182(01)00495-3")</f>
        <v>http://dx.doi.org/10.1016/S0031-0182(01)00495-3</v>
      </c>
      <c r="BG918" t="s">
        <v>74</v>
      </c>
      <c r="BH918" t="s">
        <v>74</v>
      </c>
      <c r="BI918">
        <v>14</v>
      </c>
      <c r="BJ918" t="s">
        <v>4147</v>
      </c>
      <c r="BK918" t="s">
        <v>569</v>
      </c>
      <c r="BL918" t="s">
        <v>4148</v>
      </c>
      <c r="BM918" t="s">
        <v>12563</v>
      </c>
      <c r="BN918" t="s">
        <v>74</v>
      </c>
      <c r="BO918" t="s">
        <v>74</v>
      </c>
      <c r="BP918" t="s">
        <v>74</v>
      </c>
      <c r="BQ918" t="s">
        <v>74</v>
      </c>
      <c r="BR918" t="s">
        <v>98</v>
      </c>
      <c r="BS918" t="s">
        <v>12588</v>
      </c>
      <c r="BT918" t="str">
        <f>HYPERLINK("https%3A%2F%2Fwww.webofscience.com%2Fwos%2Fwoscc%2Ffull-record%2FWOS:000176642100004","View Full Record in Web of Science")</f>
        <v>View Full Record in Web of Science</v>
      </c>
    </row>
    <row r="919" spans="1:72" x14ac:dyDescent="0.15">
      <c r="A919" t="s">
        <v>552</v>
      </c>
      <c r="B919" t="s">
        <v>12589</v>
      </c>
      <c r="C919" t="s">
        <v>74</v>
      </c>
      <c r="D919" t="s">
        <v>74</v>
      </c>
      <c r="E919" t="s">
        <v>74</v>
      </c>
      <c r="F919" t="s">
        <v>12589</v>
      </c>
      <c r="G919" t="s">
        <v>74</v>
      </c>
      <c r="H919" t="s">
        <v>74</v>
      </c>
      <c r="I919" t="s">
        <v>12590</v>
      </c>
      <c r="J919" t="s">
        <v>4134</v>
      </c>
      <c r="K919" t="s">
        <v>74</v>
      </c>
      <c r="L919" t="s">
        <v>74</v>
      </c>
      <c r="M919" t="s">
        <v>78</v>
      </c>
      <c r="N919" t="s">
        <v>775</v>
      </c>
      <c r="O919" t="s">
        <v>74</v>
      </c>
      <c r="P919" t="s">
        <v>74</v>
      </c>
      <c r="Q919" t="s">
        <v>74</v>
      </c>
      <c r="R919" t="s">
        <v>74</v>
      </c>
      <c r="S919" t="s">
        <v>74</v>
      </c>
      <c r="T919" t="s">
        <v>12591</v>
      </c>
      <c r="U919" t="s">
        <v>12592</v>
      </c>
      <c r="V919" t="s">
        <v>12593</v>
      </c>
      <c r="W919" t="s">
        <v>12594</v>
      </c>
      <c r="X919" t="s">
        <v>12595</v>
      </c>
      <c r="Y919" t="s">
        <v>12596</v>
      </c>
      <c r="Z919" t="s">
        <v>74</v>
      </c>
      <c r="AA919" t="s">
        <v>74</v>
      </c>
      <c r="AB919" t="s">
        <v>12597</v>
      </c>
      <c r="AC919" t="s">
        <v>74</v>
      </c>
      <c r="AD919" t="s">
        <v>74</v>
      </c>
      <c r="AE919" t="s">
        <v>74</v>
      </c>
      <c r="AF919" t="s">
        <v>74</v>
      </c>
      <c r="AG919">
        <v>62</v>
      </c>
      <c r="AH919">
        <v>113</v>
      </c>
      <c r="AI919">
        <v>131</v>
      </c>
      <c r="AJ919">
        <v>0</v>
      </c>
      <c r="AK919">
        <v>36</v>
      </c>
      <c r="AL919" t="s">
        <v>1860</v>
      </c>
      <c r="AM919" t="s">
        <v>1861</v>
      </c>
      <c r="AN919" t="s">
        <v>1862</v>
      </c>
      <c r="AO919" t="s">
        <v>4142</v>
      </c>
      <c r="AP919" t="s">
        <v>74</v>
      </c>
      <c r="AQ919" t="s">
        <v>74</v>
      </c>
      <c r="AR919" t="s">
        <v>4143</v>
      </c>
      <c r="AS919" t="s">
        <v>4144</v>
      </c>
      <c r="AT919" t="s">
        <v>12510</v>
      </c>
      <c r="AU919">
        <v>2002</v>
      </c>
      <c r="AV919">
        <v>182</v>
      </c>
      <c r="AW919" t="s">
        <v>1424</v>
      </c>
      <c r="AX919" t="s">
        <v>74</v>
      </c>
      <c r="AY919" t="s">
        <v>74</v>
      </c>
      <c r="AZ919" t="s">
        <v>74</v>
      </c>
      <c r="BA919" t="s">
        <v>74</v>
      </c>
      <c r="BB919">
        <v>197</v>
      </c>
      <c r="BC919">
        <v>220</v>
      </c>
      <c r="BD919" t="s">
        <v>12598</v>
      </c>
      <c r="BE919" t="s">
        <v>12599</v>
      </c>
      <c r="BF919" t="str">
        <f>HYPERLINK("http://dx.doi.org/10.1016/S0031-0182(01)00496-5","http://dx.doi.org/10.1016/S0031-0182(01)00496-5")</f>
        <v>http://dx.doi.org/10.1016/S0031-0182(01)00496-5</v>
      </c>
      <c r="BG919" t="s">
        <v>74</v>
      </c>
      <c r="BH919" t="s">
        <v>74</v>
      </c>
      <c r="BI919">
        <v>24</v>
      </c>
      <c r="BJ919" t="s">
        <v>4147</v>
      </c>
      <c r="BK919" t="s">
        <v>569</v>
      </c>
      <c r="BL919" t="s">
        <v>4148</v>
      </c>
      <c r="BM919" t="s">
        <v>12563</v>
      </c>
      <c r="BN919" t="s">
        <v>74</v>
      </c>
      <c r="BO919" t="s">
        <v>74</v>
      </c>
      <c r="BP919" t="s">
        <v>74</v>
      </c>
      <c r="BQ919" t="s">
        <v>74</v>
      </c>
      <c r="BR919" t="s">
        <v>98</v>
      </c>
      <c r="BS919" t="s">
        <v>12600</v>
      </c>
      <c r="BT919" t="str">
        <f>HYPERLINK("https%3A%2F%2Fwww.webofscience.com%2Fwos%2Fwoscc%2Ffull-record%2FWOS:000176642100005","View Full Record in Web of Science")</f>
        <v>View Full Record in Web of Science</v>
      </c>
    </row>
    <row r="920" spans="1:72" x14ac:dyDescent="0.15">
      <c r="A920" t="s">
        <v>552</v>
      </c>
      <c r="B920" t="s">
        <v>12601</v>
      </c>
      <c r="C920" t="s">
        <v>74</v>
      </c>
      <c r="D920" t="s">
        <v>74</v>
      </c>
      <c r="E920" t="s">
        <v>74</v>
      </c>
      <c r="F920" t="s">
        <v>12601</v>
      </c>
      <c r="G920" t="s">
        <v>74</v>
      </c>
      <c r="H920" t="s">
        <v>74</v>
      </c>
      <c r="I920" t="s">
        <v>12602</v>
      </c>
      <c r="J920" t="s">
        <v>4134</v>
      </c>
      <c r="K920" t="s">
        <v>74</v>
      </c>
      <c r="L920" t="s">
        <v>74</v>
      </c>
      <c r="M920" t="s">
        <v>78</v>
      </c>
      <c r="N920" t="s">
        <v>775</v>
      </c>
      <c r="O920" t="s">
        <v>74</v>
      </c>
      <c r="P920" t="s">
        <v>74</v>
      </c>
      <c r="Q920" t="s">
        <v>74</v>
      </c>
      <c r="R920" t="s">
        <v>74</v>
      </c>
      <c r="S920" t="s">
        <v>74</v>
      </c>
      <c r="T920" t="s">
        <v>12603</v>
      </c>
      <c r="U920" t="s">
        <v>12604</v>
      </c>
      <c r="V920" t="s">
        <v>12605</v>
      </c>
      <c r="W920" t="s">
        <v>583</v>
      </c>
      <c r="X920" t="s">
        <v>584</v>
      </c>
      <c r="Y920" t="s">
        <v>12606</v>
      </c>
      <c r="Z920" t="s">
        <v>74</v>
      </c>
      <c r="AA920" t="s">
        <v>74</v>
      </c>
      <c r="AB920" t="s">
        <v>12607</v>
      </c>
      <c r="AC920" t="s">
        <v>74</v>
      </c>
      <c r="AD920" t="s">
        <v>74</v>
      </c>
      <c r="AE920" t="s">
        <v>74</v>
      </c>
      <c r="AF920" t="s">
        <v>74</v>
      </c>
      <c r="AG920">
        <v>86</v>
      </c>
      <c r="AH920">
        <v>53</v>
      </c>
      <c r="AI920">
        <v>62</v>
      </c>
      <c r="AJ920">
        <v>0</v>
      </c>
      <c r="AK920">
        <v>18</v>
      </c>
      <c r="AL920" t="s">
        <v>1860</v>
      </c>
      <c r="AM920" t="s">
        <v>1861</v>
      </c>
      <c r="AN920" t="s">
        <v>1862</v>
      </c>
      <c r="AO920" t="s">
        <v>4142</v>
      </c>
      <c r="AP920" t="s">
        <v>74</v>
      </c>
      <c r="AQ920" t="s">
        <v>74</v>
      </c>
      <c r="AR920" t="s">
        <v>4143</v>
      </c>
      <c r="AS920" t="s">
        <v>4144</v>
      </c>
      <c r="AT920" t="s">
        <v>12510</v>
      </c>
      <c r="AU920">
        <v>2002</v>
      </c>
      <c r="AV920">
        <v>182</v>
      </c>
      <c r="AW920" t="s">
        <v>1424</v>
      </c>
      <c r="AX920" t="s">
        <v>74</v>
      </c>
      <c r="AY920" t="s">
        <v>74</v>
      </c>
      <c r="AZ920" t="s">
        <v>74</v>
      </c>
      <c r="BA920" t="s">
        <v>74</v>
      </c>
      <c r="BB920">
        <v>241</v>
      </c>
      <c r="BC920">
        <v>258</v>
      </c>
      <c r="BD920" t="s">
        <v>12608</v>
      </c>
      <c r="BE920" t="s">
        <v>12609</v>
      </c>
      <c r="BF920" t="str">
        <f>HYPERLINK("http://dx.doi.org/10.1016/S0031-0182(01)00498-9","http://dx.doi.org/10.1016/S0031-0182(01)00498-9")</f>
        <v>http://dx.doi.org/10.1016/S0031-0182(01)00498-9</v>
      </c>
      <c r="BG920" t="s">
        <v>74</v>
      </c>
      <c r="BH920" t="s">
        <v>74</v>
      </c>
      <c r="BI920">
        <v>18</v>
      </c>
      <c r="BJ920" t="s">
        <v>4147</v>
      </c>
      <c r="BK920" t="s">
        <v>569</v>
      </c>
      <c r="BL920" t="s">
        <v>4148</v>
      </c>
      <c r="BM920" t="s">
        <v>12563</v>
      </c>
      <c r="BN920" t="s">
        <v>74</v>
      </c>
      <c r="BO920" t="s">
        <v>74</v>
      </c>
      <c r="BP920" t="s">
        <v>74</v>
      </c>
      <c r="BQ920" t="s">
        <v>74</v>
      </c>
      <c r="BR920" t="s">
        <v>98</v>
      </c>
      <c r="BS920" t="s">
        <v>12610</v>
      </c>
      <c r="BT920" t="str">
        <f>HYPERLINK("https%3A%2F%2Fwww.webofscience.com%2Fwos%2Fwoscc%2Ffull-record%2FWOS:000176642100007","View Full Record in Web of Science")</f>
        <v>View Full Record in Web of Science</v>
      </c>
    </row>
    <row r="921" spans="1:72" x14ac:dyDescent="0.15">
      <c r="A921" t="s">
        <v>552</v>
      </c>
      <c r="B921" t="s">
        <v>12611</v>
      </c>
      <c r="C921" t="s">
        <v>74</v>
      </c>
      <c r="D921" t="s">
        <v>74</v>
      </c>
      <c r="E921" t="s">
        <v>74</v>
      </c>
      <c r="F921" t="s">
        <v>12611</v>
      </c>
      <c r="G921" t="s">
        <v>74</v>
      </c>
      <c r="H921" t="s">
        <v>74</v>
      </c>
      <c r="I921" t="s">
        <v>12612</v>
      </c>
      <c r="J921" t="s">
        <v>4134</v>
      </c>
      <c r="K921" t="s">
        <v>74</v>
      </c>
      <c r="L921" t="s">
        <v>74</v>
      </c>
      <c r="M921" t="s">
        <v>78</v>
      </c>
      <c r="N921" t="s">
        <v>775</v>
      </c>
      <c r="O921" t="s">
        <v>74</v>
      </c>
      <c r="P921" t="s">
        <v>74</v>
      </c>
      <c r="Q921" t="s">
        <v>74</v>
      </c>
      <c r="R921" t="s">
        <v>74</v>
      </c>
      <c r="S921" t="s">
        <v>74</v>
      </c>
      <c r="T921" t="s">
        <v>12613</v>
      </c>
      <c r="U921" t="s">
        <v>12614</v>
      </c>
      <c r="V921" t="s">
        <v>12615</v>
      </c>
      <c r="W921" t="s">
        <v>12616</v>
      </c>
      <c r="X921" t="s">
        <v>584</v>
      </c>
      <c r="Y921" t="s">
        <v>12617</v>
      </c>
      <c r="Z921" t="s">
        <v>12618</v>
      </c>
      <c r="AA921" t="s">
        <v>12619</v>
      </c>
      <c r="AB921" t="s">
        <v>12620</v>
      </c>
      <c r="AC921" t="s">
        <v>74</v>
      </c>
      <c r="AD921" t="s">
        <v>74</v>
      </c>
      <c r="AE921" t="s">
        <v>74</v>
      </c>
      <c r="AF921" t="s">
        <v>74</v>
      </c>
      <c r="AG921">
        <v>74</v>
      </c>
      <c r="AH921">
        <v>59</v>
      </c>
      <c r="AI921">
        <v>63</v>
      </c>
      <c r="AJ921">
        <v>1</v>
      </c>
      <c r="AK921">
        <v>22</v>
      </c>
      <c r="AL921" t="s">
        <v>3155</v>
      </c>
      <c r="AM921" t="s">
        <v>1861</v>
      </c>
      <c r="AN921" t="s">
        <v>3156</v>
      </c>
      <c r="AO921" t="s">
        <v>4142</v>
      </c>
      <c r="AP921" t="s">
        <v>8067</v>
      </c>
      <c r="AQ921" t="s">
        <v>74</v>
      </c>
      <c r="AR921" t="s">
        <v>4143</v>
      </c>
      <c r="AS921" t="s">
        <v>4144</v>
      </c>
      <c r="AT921" t="s">
        <v>12510</v>
      </c>
      <c r="AU921">
        <v>2002</v>
      </c>
      <c r="AV921">
        <v>182</v>
      </c>
      <c r="AW921" t="s">
        <v>1424</v>
      </c>
      <c r="AX921" t="s">
        <v>74</v>
      </c>
      <c r="AY921" t="s">
        <v>74</v>
      </c>
      <c r="AZ921" t="s">
        <v>74</v>
      </c>
      <c r="BA921" t="s">
        <v>74</v>
      </c>
      <c r="BB921">
        <v>259</v>
      </c>
      <c r="BC921">
        <v>286</v>
      </c>
      <c r="BD921" t="s">
        <v>12621</v>
      </c>
      <c r="BE921" t="s">
        <v>12622</v>
      </c>
      <c r="BF921" t="str">
        <f>HYPERLINK("http://dx.doi.org/10.1016/S0031-0182(01)00499-0","http://dx.doi.org/10.1016/S0031-0182(01)00499-0")</f>
        <v>http://dx.doi.org/10.1016/S0031-0182(01)00499-0</v>
      </c>
      <c r="BG921" t="s">
        <v>74</v>
      </c>
      <c r="BH921" t="s">
        <v>74</v>
      </c>
      <c r="BI921">
        <v>28</v>
      </c>
      <c r="BJ921" t="s">
        <v>4147</v>
      </c>
      <c r="BK921" t="s">
        <v>569</v>
      </c>
      <c r="BL921" t="s">
        <v>4148</v>
      </c>
      <c r="BM921" t="s">
        <v>12563</v>
      </c>
      <c r="BN921" t="s">
        <v>74</v>
      </c>
      <c r="BO921" t="s">
        <v>794</v>
      </c>
      <c r="BP921" t="s">
        <v>74</v>
      </c>
      <c r="BQ921" t="s">
        <v>74</v>
      </c>
      <c r="BR921" t="s">
        <v>98</v>
      </c>
      <c r="BS921" t="s">
        <v>12623</v>
      </c>
      <c r="BT921" t="str">
        <f>HYPERLINK("https%3A%2F%2Fwww.webofscience.com%2Fwos%2Fwoscc%2Ffull-record%2FWOS:000176642100008","View Full Record in Web of Science")</f>
        <v>View Full Record in Web of Science</v>
      </c>
    </row>
    <row r="922" spans="1:72" x14ac:dyDescent="0.15">
      <c r="A922" t="s">
        <v>552</v>
      </c>
      <c r="B922" t="s">
        <v>12624</v>
      </c>
      <c r="C922" t="s">
        <v>74</v>
      </c>
      <c r="D922" t="s">
        <v>74</v>
      </c>
      <c r="E922" t="s">
        <v>74</v>
      </c>
      <c r="F922" t="s">
        <v>12624</v>
      </c>
      <c r="G922" t="s">
        <v>74</v>
      </c>
      <c r="H922" t="s">
        <v>74</v>
      </c>
      <c r="I922" t="s">
        <v>12625</v>
      </c>
      <c r="J922" t="s">
        <v>4134</v>
      </c>
      <c r="K922" t="s">
        <v>74</v>
      </c>
      <c r="L922" t="s">
        <v>74</v>
      </c>
      <c r="M922" t="s">
        <v>78</v>
      </c>
      <c r="N922" t="s">
        <v>775</v>
      </c>
      <c r="O922" t="s">
        <v>74</v>
      </c>
      <c r="P922" t="s">
        <v>74</v>
      </c>
      <c r="Q922" t="s">
        <v>74</v>
      </c>
      <c r="R922" t="s">
        <v>74</v>
      </c>
      <c r="S922" t="s">
        <v>74</v>
      </c>
      <c r="T922" t="s">
        <v>12626</v>
      </c>
      <c r="U922" t="s">
        <v>12627</v>
      </c>
      <c r="V922" t="s">
        <v>12628</v>
      </c>
      <c r="W922" t="s">
        <v>583</v>
      </c>
      <c r="X922" t="s">
        <v>584</v>
      </c>
      <c r="Y922" t="s">
        <v>12629</v>
      </c>
      <c r="Z922" t="s">
        <v>74</v>
      </c>
      <c r="AA922" t="s">
        <v>74</v>
      </c>
      <c r="AB922" t="s">
        <v>12607</v>
      </c>
      <c r="AC922" t="s">
        <v>74</v>
      </c>
      <c r="AD922" t="s">
        <v>74</v>
      </c>
      <c r="AE922" t="s">
        <v>74</v>
      </c>
      <c r="AF922" t="s">
        <v>74</v>
      </c>
      <c r="AG922">
        <v>69</v>
      </c>
      <c r="AH922">
        <v>58</v>
      </c>
      <c r="AI922">
        <v>66</v>
      </c>
      <c r="AJ922">
        <v>2</v>
      </c>
      <c r="AK922">
        <v>27</v>
      </c>
      <c r="AL922" t="s">
        <v>1860</v>
      </c>
      <c r="AM922" t="s">
        <v>1861</v>
      </c>
      <c r="AN922" t="s">
        <v>1862</v>
      </c>
      <c r="AO922" t="s">
        <v>4142</v>
      </c>
      <c r="AP922" t="s">
        <v>74</v>
      </c>
      <c r="AQ922" t="s">
        <v>74</v>
      </c>
      <c r="AR922" t="s">
        <v>4143</v>
      </c>
      <c r="AS922" t="s">
        <v>4144</v>
      </c>
      <c r="AT922" t="s">
        <v>12510</v>
      </c>
      <c r="AU922">
        <v>2002</v>
      </c>
      <c r="AV922">
        <v>182</v>
      </c>
      <c r="AW922" t="s">
        <v>1424</v>
      </c>
      <c r="AX922" t="s">
        <v>74</v>
      </c>
      <c r="AY922" t="s">
        <v>74</v>
      </c>
      <c r="AZ922" t="s">
        <v>74</v>
      </c>
      <c r="BA922" t="s">
        <v>74</v>
      </c>
      <c r="BB922">
        <v>287</v>
      </c>
      <c r="BC922">
        <v>303</v>
      </c>
      <c r="BD922" t="s">
        <v>12630</v>
      </c>
      <c r="BE922" t="s">
        <v>12631</v>
      </c>
      <c r="BF922" t="str">
        <f>HYPERLINK("http://dx.doi.org/10.1016/S0031-0182(01)00500-4","http://dx.doi.org/10.1016/S0031-0182(01)00500-4")</f>
        <v>http://dx.doi.org/10.1016/S0031-0182(01)00500-4</v>
      </c>
      <c r="BG922" t="s">
        <v>74</v>
      </c>
      <c r="BH922" t="s">
        <v>74</v>
      </c>
      <c r="BI922">
        <v>17</v>
      </c>
      <c r="BJ922" t="s">
        <v>4147</v>
      </c>
      <c r="BK922" t="s">
        <v>569</v>
      </c>
      <c r="BL922" t="s">
        <v>4148</v>
      </c>
      <c r="BM922" t="s">
        <v>12563</v>
      </c>
      <c r="BN922" t="s">
        <v>74</v>
      </c>
      <c r="BO922" t="s">
        <v>74</v>
      </c>
      <c r="BP922" t="s">
        <v>74</v>
      </c>
      <c r="BQ922" t="s">
        <v>74</v>
      </c>
      <c r="BR922" t="s">
        <v>98</v>
      </c>
      <c r="BS922" t="s">
        <v>12632</v>
      </c>
      <c r="BT922" t="str">
        <f>HYPERLINK("https%3A%2F%2Fwww.webofscience.com%2Fwos%2Fwoscc%2Ffull-record%2FWOS:000176642100009","View Full Record in Web of Science")</f>
        <v>View Full Record in Web of Science</v>
      </c>
    </row>
    <row r="923" spans="1:72" x14ac:dyDescent="0.15">
      <c r="A923" t="s">
        <v>552</v>
      </c>
      <c r="B923" t="s">
        <v>12633</v>
      </c>
      <c r="C923" t="s">
        <v>74</v>
      </c>
      <c r="D923" t="s">
        <v>74</v>
      </c>
      <c r="E923" t="s">
        <v>74</v>
      </c>
      <c r="F923" t="s">
        <v>12633</v>
      </c>
      <c r="G923" t="s">
        <v>74</v>
      </c>
      <c r="H923" t="s">
        <v>74</v>
      </c>
      <c r="I923" t="s">
        <v>12634</v>
      </c>
      <c r="J923" t="s">
        <v>4134</v>
      </c>
      <c r="K923" t="s">
        <v>74</v>
      </c>
      <c r="L923" t="s">
        <v>74</v>
      </c>
      <c r="M923" t="s">
        <v>78</v>
      </c>
      <c r="N923" t="s">
        <v>775</v>
      </c>
      <c r="O923" t="s">
        <v>74</v>
      </c>
      <c r="P923" t="s">
        <v>74</v>
      </c>
      <c r="Q923" t="s">
        <v>74</v>
      </c>
      <c r="R923" t="s">
        <v>74</v>
      </c>
      <c r="S923" t="s">
        <v>74</v>
      </c>
      <c r="T923" t="s">
        <v>12635</v>
      </c>
      <c r="U923" t="s">
        <v>12636</v>
      </c>
      <c r="V923" t="s">
        <v>12637</v>
      </c>
      <c r="W923" t="s">
        <v>12638</v>
      </c>
      <c r="X923" t="s">
        <v>12639</v>
      </c>
      <c r="Y923" t="s">
        <v>12640</v>
      </c>
      <c r="Z923" t="s">
        <v>74</v>
      </c>
      <c r="AA923" t="s">
        <v>74</v>
      </c>
      <c r="AB923" t="s">
        <v>12597</v>
      </c>
      <c r="AC923" t="s">
        <v>74</v>
      </c>
      <c r="AD923" t="s">
        <v>74</v>
      </c>
      <c r="AE923" t="s">
        <v>74</v>
      </c>
      <c r="AF923" t="s">
        <v>74</v>
      </c>
      <c r="AG923">
        <v>86</v>
      </c>
      <c r="AH923">
        <v>32</v>
      </c>
      <c r="AI923">
        <v>40</v>
      </c>
      <c r="AJ923">
        <v>0</v>
      </c>
      <c r="AK923">
        <v>18</v>
      </c>
      <c r="AL923" t="s">
        <v>1860</v>
      </c>
      <c r="AM923" t="s">
        <v>1861</v>
      </c>
      <c r="AN923" t="s">
        <v>1862</v>
      </c>
      <c r="AO923" t="s">
        <v>4142</v>
      </c>
      <c r="AP923" t="s">
        <v>74</v>
      </c>
      <c r="AQ923" t="s">
        <v>74</v>
      </c>
      <c r="AR923" t="s">
        <v>4143</v>
      </c>
      <c r="AS923" t="s">
        <v>4144</v>
      </c>
      <c r="AT923" t="s">
        <v>12510</v>
      </c>
      <c r="AU923">
        <v>2002</v>
      </c>
      <c r="AV923">
        <v>182</v>
      </c>
      <c r="AW923" t="s">
        <v>1424</v>
      </c>
      <c r="AX923" t="s">
        <v>74</v>
      </c>
      <c r="AY923" t="s">
        <v>74</v>
      </c>
      <c r="AZ923" t="s">
        <v>74</v>
      </c>
      <c r="BA923" t="s">
        <v>74</v>
      </c>
      <c r="BB923">
        <v>305</v>
      </c>
      <c r="BC923">
        <v>328</v>
      </c>
      <c r="BD923" t="s">
        <v>12641</v>
      </c>
      <c r="BE923" t="s">
        <v>12642</v>
      </c>
      <c r="BF923" t="str">
        <f>HYPERLINK("http://dx.doi.org/10.1016/S0031-0182(01)00501-6","http://dx.doi.org/10.1016/S0031-0182(01)00501-6")</f>
        <v>http://dx.doi.org/10.1016/S0031-0182(01)00501-6</v>
      </c>
      <c r="BG923" t="s">
        <v>74</v>
      </c>
      <c r="BH923" t="s">
        <v>74</v>
      </c>
      <c r="BI923">
        <v>24</v>
      </c>
      <c r="BJ923" t="s">
        <v>4147</v>
      </c>
      <c r="BK923" t="s">
        <v>569</v>
      </c>
      <c r="BL923" t="s">
        <v>4148</v>
      </c>
      <c r="BM923" t="s">
        <v>12563</v>
      </c>
      <c r="BN923" t="s">
        <v>74</v>
      </c>
      <c r="BO923" t="s">
        <v>74</v>
      </c>
      <c r="BP923" t="s">
        <v>74</v>
      </c>
      <c r="BQ923" t="s">
        <v>74</v>
      </c>
      <c r="BR923" t="s">
        <v>98</v>
      </c>
      <c r="BS923" t="s">
        <v>12643</v>
      </c>
      <c r="BT923" t="str">
        <f>HYPERLINK("https%3A%2F%2Fwww.webofscience.com%2Fwos%2Fwoscc%2Ffull-record%2FWOS:000176642100010","View Full Record in Web of Science")</f>
        <v>View Full Record in Web of Science</v>
      </c>
    </row>
    <row r="924" spans="1:72" x14ac:dyDescent="0.15">
      <c r="A924" t="s">
        <v>552</v>
      </c>
      <c r="B924" t="s">
        <v>12644</v>
      </c>
      <c r="C924" t="s">
        <v>74</v>
      </c>
      <c r="D924" t="s">
        <v>74</v>
      </c>
      <c r="E924" t="s">
        <v>74</v>
      </c>
      <c r="F924" t="s">
        <v>12644</v>
      </c>
      <c r="G924" t="s">
        <v>74</v>
      </c>
      <c r="H924" t="s">
        <v>74</v>
      </c>
      <c r="I924" t="s">
        <v>12645</v>
      </c>
      <c r="J924" t="s">
        <v>4134</v>
      </c>
      <c r="K924" t="s">
        <v>74</v>
      </c>
      <c r="L924" t="s">
        <v>74</v>
      </c>
      <c r="M924" t="s">
        <v>78</v>
      </c>
      <c r="N924" t="s">
        <v>775</v>
      </c>
      <c r="O924" t="s">
        <v>74</v>
      </c>
      <c r="P924" t="s">
        <v>74</v>
      </c>
      <c r="Q924" t="s">
        <v>74</v>
      </c>
      <c r="R924" t="s">
        <v>74</v>
      </c>
      <c r="S924" t="s">
        <v>74</v>
      </c>
      <c r="T924" t="s">
        <v>12646</v>
      </c>
      <c r="U924" t="s">
        <v>12647</v>
      </c>
      <c r="V924" t="s">
        <v>12648</v>
      </c>
      <c r="W924" t="s">
        <v>12649</v>
      </c>
      <c r="X924" t="s">
        <v>12650</v>
      </c>
      <c r="Y924" t="s">
        <v>12651</v>
      </c>
      <c r="Z924" t="s">
        <v>12652</v>
      </c>
      <c r="AA924" t="s">
        <v>74</v>
      </c>
      <c r="AB924" t="s">
        <v>12597</v>
      </c>
      <c r="AC924" t="s">
        <v>74</v>
      </c>
      <c r="AD924" t="s">
        <v>74</v>
      </c>
      <c r="AE924" t="s">
        <v>74</v>
      </c>
      <c r="AF924" t="s">
        <v>74</v>
      </c>
      <c r="AG924">
        <v>55</v>
      </c>
      <c r="AH924">
        <v>42</v>
      </c>
      <c r="AI924">
        <v>48</v>
      </c>
      <c r="AJ924">
        <v>1</v>
      </c>
      <c r="AK924">
        <v>21</v>
      </c>
      <c r="AL924" t="s">
        <v>3155</v>
      </c>
      <c r="AM924" t="s">
        <v>1861</v>
      </c>
      <c r="AN924" t="s">
        <v>3156</v>
      </c>
      <c r="AO924" t="s">
        <v>4142</v>
      </c>
      <c r="AP924" t="s">
        <v>8067</v>
      </c>
      <c r="AQ924" t="s">
        <v>74</v>
      </c>
      <c r="AR924" t="s">
        <v>4143</v>
      </c>
      <c r="AS924" t="s">
        <v>4144</v>
      </c>
      <c r="AT924" t="s">
        <v>12510</v>
      </c>
      <c r="AU924">
        <v>2002</v>
      </c>
      <c r="AV924">
        <v>182</v>
      </c>
      <c r="AW924" t="s">
        <v>1424</v>
      </c>
      <c r="AX924" t="s">
        <v>74</v>
      </c>
      <c r="AY924" t="s">
        <v>74</v>
      </c>
      <c r="AZ924" t="s">
        <v>74</v>
      </c>
      <c r="BA924" t="s">
        <v>74</v>
      </c>
      <c r="BB924">
        <v>329</v>
      </c>
      <c r="BC924">
        <v>349</v>
      </c>
      <c r="BD924" t="s">
        <v>12653</v>
      </c>
      <c r="BE924" t="s">
        <v>12654</v>
      </c>
      <c r="BF924" t="str">
        <f>HYPERLINK("http://dx.doi.org/10.1016/S0031-0182(01)00502-8","http://dx.doi.org/10.1016/S0031-0182(01)00502-8")</f>
        <v>http://dx.doi.org/10.1016/S0031-0182(01)00502-8</v>
      </c>
      <c r="BG924" t="s">
        <v>74</v>
      </c>
      <c r="BH924" t="s">
        <v>74</v>
      </c>
      <c r="BI924">
        <v>21</v>
      </c>
      <c r="BJ924" t="s">
        <v>4147</v>
      </c>
      <c r="BK924" t="s">
        <v>569</v>
      </c>
      <c r="BL924" t="s">
        <v>4148</v>
      </c>
      <c r="BM924" t="s">
        <v>12563</v>
      </c>
      <c r="BN924" t="s">
        <v>74</v>
      </c>
      <c r="BO924" t="s">
        <v>74</v>
      </c>
      <c r="BP924" t="s">
        <v>74</v>
      </c>
      <c r="BQ924" t="s">
        <v>74</v>
      </c>
      <c r="BR924" t="s">
        <v>98</v>
      </c>
      <c r="BS924" t="s">
        <v>12655</v>
      </c>
      <c r="BT924" t="str">
        <f>HYPERLINK("https%3A%2F%2Fwww.webofscience.com%2Fwos%2Fwoscc%2Ffull-record%2FWOS:000176642100011","View Full Record in Web of Science")</f>
        <v>View Full Record in Web of Science</v>
      </c>
    </row>
    <row r="925" spans="1:72" x14ac:dyDescent="0.15">
      <c r="A925" t="s">
        <v>552</v>
      </c>
      <c r="B925" t="s">
        <v>12656</v>
      </c>
      <c r="C925" t="s">
        <v>74</v>
      </c>
      <c r="D925" t="s">
        <v>74</v>
      </c>
      <c r="E925" t="s">
        <v>74</v>
      </c>
      <c r="F925" t="s">
        <v>12656</v>
      </c>
      <c r="G925" t="s">
        <v>74</v>
      </c>
      <c r="H925" t="s">
        <v>74</v>
      </c>
      <c r="I925" t="s">
        <v>12657</v>
      </c>
      <c r="J925" t="s">
        <v>12658</v>
      </c>
      <c r="K925" t="s">
        <v>74</v>
      </c>
      <c r="L925" t="s">
        <v>74</v>
      </c>
      <c r="M925" t="s">
        <v>78</v>
      </c>
      <c r="N925" t="s">
        <v>775</v>
      </c>
      <c r="O925" t="s">
        <v>74</v>
      </c>
      <c r="P925" t="s">
        <v>74</v>
      </c>
      <c r="Q925" t="s">
        <v>74</v>
      </c>
      <c r="R925" t="s">
        <v>74</v>
      </c>
      <c r="S925" t="s">
        <v>74</v>
      </c>
      <c r="T925" t="s">
        <v>74</v>
      </c>
      <c r="U925" t="s">
        <v>12659</v>
      </c>
      <c r="V925" t="s">
        <v>12660</v>
      </c>
      <c r="W925" t="s">
        <v>12661</v>
      </c>
      <c r="X925" t="s">
        <v>12662</v>
      </c>
      <c r="Y925" t="s">
        <v>12663</v>
      </c>
      <c r="Z925" t="s">
        <v>12664</v>
      </c>
      <c r="AA925" t="s">
        <v>74</v>
      </c>
      <c r="AB925" t="s">
        <v>74</v>
      </c>
      <c r="AC925" t="s">
        <v>74</v>
      </c>
      <c r="AD925" t="s">
        <v>74</v>
      </c>
      <c r="AE925" t="s">
        <v>74</v>
      </c>
      <c r="AF925" t="s">
        <v>74</v>
      </c>
      <c r="AG925">
        <v>27</v>
      </c>
      <c r="AH925">
        <v>7</v>
      </c>
      <c r="AI925">
        <v>7</v>
      </c>
      <c r="AJ925">
        <v>0</v>
      </c>
      <c r="AK925">
        <v>5</v>
      </c>
      <c r="AL925" t="s">
        <v>12665</v>
      </c>
      <c r="AM925" t="s">
        <v>2113</v>
      </c>
      <c r="AN925" t="s">
        <v>2114</v>
      </c>
      <c r="AO925" t="s">
        <v>12666</v>
      </c>
      <c r="AP925" t="s">
        <v>12667</v>
      </c>
      <c r="AQ925" t="s">
        <v>74</v>
      </c>
      <c r="AR925" t="s">
        <v>12668</v>
      </c>
      <c r="AS925" t="s">
        <v>12669</v>
      </c>
      <c r="AT925" t="s">
        <v>12670</v>
      </c>
      <c r="AU925">
        <v>2002</v>
      </c>
      <c r="AV925">
        <v>217</v>
      </c>
      <c r="AW925">
        <v>1</v>
      </c>
      <c r="AX925" t="s">
        <v>74</v>
      </c>
      <c r="AY925" t="s">
        <v>74</v>
      </c>
      <c r="AZ925" t="s">
        <v>74</v>
      </c>
      <c r="BA925" t="s">
        <v>74</v>
      </c>
      <c r="BB925">
        <v>33</v>
      </c>
      <c r="BC925">
        <v>46</v>
      </c>
      <c r="BD925" t="s">
        <v>74</v>
      </c>
      <c r="BE925" t="s">
        <v>12671</v>
      </c>
      <c r="BF925" t="str">
        <f>HYPERLINK("http://dx.doi.org/10.1006/jtbi.2002.3020","http://dx.doi.org/10.1006/jtbi.2002.3020")</f>
        <v>http://dx.doi.org/10.1006/jtbi.2002.3020</v>
      </c>
      <c r="BG925" t="s">
        <v>74</v>
      </c>
      <c r="BH925" t="s">
        <v>74</v>
      </c>
      <c r="BI925">
        <v>14</v>
      </c>
      <c r="BJ925" t="s">
        <v>12672</v>
      </c>
      <c r="BK925" t="s">
        <v>569</v>
      </c>
      <c r="BL925" t="s">
        <v>12673</v>
      </c>
      <c r="BM925" t="s">
        <v>12674</v>
      </c>
      <c r="BN925">
        <v>12183128</v>
      </c>
      <c r="BO925" t="s">
        <v>74</v>
      </c>
      <c r="BP925" t="s">
        <v>74</v>
      </c>
      <c r="BQ925" t="s">
        <v>74</v>
      </c>
      <c r="BR925" t="s">
        <v>98</v>
      </c>
      <c r="BS925" t="s">
        <v>12675</v>
      </c>
      <c r="BT925" t="str">
        <f>HYPERLINK("https%3A%2F%2Fwww.webofscience.com%2Fwos%2Fwoscc%2Ffull-record%2FWOS:000179211200003","View Full Record in Web of Science")</f>
        <v>View Full Record in Web of Science</v>
      </c>
    </row>
    <row r="926" spans="1:72" x14ac:dyDescent="0.15">
      <c r="A926" t="s">
        <v>552</v>
      </c>
      <c r="B926" t="s">
        <v>12676</v>
      </c>
      <c r="C926" t="s">
        <v>74</v>
      </c>
      <c r="D926" t="s">
        <v>74</v>
      </c>
      <c r="E926" t="s">
        <v>74</v>
      </c>
      <c r="F926" t="s">
        <v>12676</v>
      </c>
      <c r="G926" t="s">
        <v>74</v>
      </c>
      <c r="H926" t="s">
        <v>74</v>
      </c>
      <c r="I926" t="s">
        <v>12677</v>
      </c>
      <c r="J926" t="s">
        <v>8288</v>
      </c>
      <c r="K926" t="s">
        <v>74</v>
      </c>
      <c r="L926" t="s">
        <v>74</v>
      </c>
      <c r="M926" t="s">
        <v>78</v>
      </c>
      <c r="N926" t="s">
        <v>775</v>
      </c>
      <c r="O926" t="s">
        <v>74</v>
      </c>
      <c r="P926" t="s">
        <v>74</v>
      </c>
      <c r="Q926" t="s">
        <v>74</v>
      </c>
      <c r="R926" t="s">
        <v>74</v>
      </c>
      <c r="S926" t="s">
        <v>74</v>
      </c>
      <c r="T926" t="s">
        <v>12678</v>
      </c>
      <c r="U926" t="s">
        <v>12679</v>
      </c>
      <c r="V926" t="s">
        <v>12680</v>
      </c>
      <c r="W926" t="s">
        <v>12681</v>
      </c>
      <c r="X926" t="s">
        <v>12682</v>
      </c>
      <c r="Y926" t="s">
        <v>12683</v>
      </c>
      <c r="Z926" t="s">
        <v>12684</v>
      </c>
      <c r="AA926" t="s">
        <v>74</v>
      </c>
      <c r="AB926" t="s">
        <v>74</v>
      </c>
      <c r="AC926" t="s">
        <v>74</v>
      </c>
      <c r="AD926" t="s">
        <v>74</v>
      </c>
      <c r="AE926" t="s">
        <v>74</v>
      </c>
      <c r="AF926" t="s">
        <v>74</v>
      </c>
      <c r="AG926">
        <v>43</v>
      </c>
      <c r="AH926">
        <v>24</v>
      </c>
      <c r="AI926">
        <v>24</v>
      </c>
      <c r="AJ926">
        <v>0</v>
      </c>
      <c r="AK926">
        <v>9</v>
      </c>
      <c r="AL926" t="s">
        <v>1860</v>
      </c>
      <c r="AM926" t="s">
        <v>1861</v>
      </c>
      <c r="AN926" t="s">
        <v>1862</v>
      </c>
      <c r="AO926" t="s">
        <v>8296</v>
      </c>
      <c r="AP926" t="s">
        <v>12685</v>
      </c>
      <c r="AQ926" t="s">
        <v>74</v>
      </c>
      <c r="AR926" t="s">
        <v>8297</v>
      </c>
      <c r="AS926" t="s">
        <v>8298</v>
      </c>
      <c r="AT926" t="s">
        <v>12686</v>
      </c>
      <c r="AU926">
        <v>2002</v>
      </c>
      <c r="AV926">
        <v>273</v>
      </c>
      <c r="AW926">
        <v>1</v>
      </c>
      <c r="AX926" t="s">
        <v>74</v>
      </c>
      <c r="AY926" t="s">
        <v>74</v>
      </c>
      <c r="AZ926" t="s">
        <v>74</v>
      </c>
      <c r="BA926" t="s">
        <v>74</v>
      </c>
      <c r="BB926">
        <v>15</v>
      </c>
      <c r="BC926">
        <v>32</v>
      </c>
      <c r="BD926" t="s">
        <v>12687</v>
      </c>
      <c r="BE926" t="s">
        <v>12688</v>
      </c>
      <c r="BF926" t="str">
        <f>HYPERLINK("http://dx.doi.org/10.1016/S0022-0981(02)00136-3","http://dx.doi.org/10.1016/S0022-0981(02)00136-3")</f>
        <v>http://dx.doi.org/10.1016/S0022-0981(02)00136-3</v>
      </c>
      <c r="BG926" t="s">
        <v>74</v>
      </c>
      <c r="BH926" t="s">
        <v>74</v>
      </c>
      <c r="BI926">
        <v>18</v>
      </c>
      <c r="BJ926" t="s">
        <v>7493</v>
      </c>
      <c r="BK926" t="s">
        <v>569</v>
      </c>
      <c r="BL926" t="s">
        <v>7494</v>
      </c>
      <c r="BM926" t="s">
        <v>12689</v>
      </c>
      <c r="BN926" t="s">
        <v>74</v>
      </c>
      <c r="BO926" t="s">
        <v>74</v>
      </c>
      <c r="BP926" t="s">
        <v>74</v>
      </c>
      <c r="BQ926" t="s">
        <v>74</v>
      </c>
      <c r="BR926" t="s">
        <v>98</v>
      </c>
      <c r="BS926" t="s">
        <v>12690</v>
      </c>
      <c r="BT926" t="str">
        <f>HYPERLINK("https%3A%2F%2Fwww.webofscience.com%2Fwos%2Fwoscc%2Ffull-record%2FWOS:000176418700002","View Full Record in Web of Science")</f>
        <v>View Full Record in Web of Science</v>
      </c>
    </row>
    <row r="927" spans="1:72" x14ac:dyDescent="0.15">
      <c r="A927" t="s">
        <v>552</v>
      </c>
      <c r="B927" t="s">
        <v>12691</v>
      </c>
      <c r="C927" t="s">
        <v>74</v>
      </c>
      <c r="D927" t="s">
        <v>74</v>
      </c>
      <c r="E927" t="s">
        <v>74</v>
      </c>
      <c r="F927" t="s">
        <v>12691</v>
      </c>
      <c r="G927" t="s">
        <v>74</v>
      </c>
      <c r="H927" t="s">
        <v>74</v>
      </c>
      <c r="I927" t="s">
        <v>12692</v>
      </c>
      <c r="J927" t="s">
        <v>12693</v>
      </c>
      <c r="K927" t="s">
        <v>74</v>
      </c>
      <c r="L927" t="s">
        <v>74</v>
      </c>
      <c r="M927" t="s">
        <v>7358</v>
      </c>
      <c r="N927" t="s">
        <v>775</v>
      </c>
      <c r="O927" t="s">
        <v>74</v>
      </c>
      <c r="P927" t="s">
        <v>74</v>
      </c>
      <c r="Q927" t="s">
        <v>74</v>
      </c>
      <c r="R927" t="s">
        <v>74</v>
      </c>
      <c r="S927" t="s">
        <v>74</v>
      </c>
      <c r="T927" t="s">
        <v>12694</v>
      </c>
      <c r="U927" t="s">
        <v>12695</v>
      </c>
      <c r="V927" t="s">
        <v>12696</v>
      </c>
      <c r="W927" t="s">
        <v>12697</v>
      </c>
      <c r="X927" t="s">
        <v>12698</v>
      </c>
      <c r="Y927" t="s">
        <v>12699</v>
      </c>
      <c r="Z927" t="s">
        <v>74</v>
      </c>
      <c r="AA927" t="s">
        <v>74</v>
      </c>
      <c r="AB927" t="s">
        <v>12700</v>
      </c>
      <c r="AC927" t="s">
        <v>74</v>
      </c>
      <c r="AD927" t="s">
        <v>74</v>
      </c>
      <c r="AE927" t="s">
        <v>74</v>
      </c>
      <c r="AF927" t="s">
        <v>74</v>
      </c>
      <c r="AG927">
        <v>8</v>
      </c>
      <c r="AH927">
        <v>1</v>
      </c>
      <c r="AI927">
        <v>1</v>
      </c>
      <c r="AJ927">
        <v>1</v>
      </c>
      <c r="AK927">
        <v>8</v>
      </c>
      <c r="AL927" t="s">
        <v>12701</v>
      </c>
      <c r="AM927" t="s">
        <v>6731</v>
      </c>
      <c r="AN927" t="s">
        <v>12702</v>
      </c>
      <c r="AO927" t="s">
        <v>12703</v>
      </c>
      <c r="AP927" t="s">
        <v>74</v>
      </c>
      <c r="AQ927" t="s">
        <v>74</v>
      </c>
      <c r="AR927" t="s">
        <v>12693</v>
      </c>
      <c r="AS927" t="s">
        <v>12704</v>
      </c>
      <c r="AT927" t="s">
        <v>12705</v>
      </c>
      <c r="AU927">
        <v>2002</v>
      </c>
      <c r="AV927">
        <v>59</v>
      </c>
      <c r="AW927">
        <v>500</v>
      </c>
      <c r="AX927" t="s">
        <v>74</v>
      </c>
      <c r="AY927" t="s">
        <v>74</v>
      </c>
      <c r="AZ927" t="s">
        <v>74</v>
      </c>
      <c r="BA927" t="s">
        <v>74</v>
      </c>
      <c r="BB927">
        <v>479</v>
      </c>
      <c r="BC927">
        <v>483</v>
      </c>
      <c r="BD927" t="s">
        <v>74</v>
      </c>
      <c r="BE927" t="s">
        <v>74</v>
      </c>
      <c r="BF927" t="s">
        <v>74</v>
      </c>
      <c r="BG927" t="s">
        <v>74</v>
      </c>
      <c r="BH927" t="s">
        <v>74</v>
      </c>
      <c r="BI927">
        <v>5</v>
      </c>
      <c r="BJ927" t="s">
        <v>862</v>
      </c>
      <c r="BK927" t="s">
        <v>569</v>
      </c>
      <c r="BL927" t="s">
        <v>863</v>
      </c>
      <c r="BM927" t="s">
        <v>12706</v>
      </c>
      <c r="BN927" t="s">
        <v>74</v>
      </c>
      <c r="BO927" t="s">
        <v>74</v>
      </c>
      <c r="BP927" t="s">
        <v>74</v>
      </c>
      <c r="BQ927" t="s">
        <v>74</v>
      </c>
      <c r="BR927" t="s">
        <v>98</v>
      </c>
      <c r="BS927" t="s">
        <v>12707</v>
      </c>
      <c r="BT927" t="str">
        <f>HYPERLINK("https%3A%2F%2Fwww.webofscience.com%2Fwos%2Fwoscc%2Ffull-record%2FWOS:000180029300023","View Full Record in Web of Science")</f>
        <v>View Full Record in Web of Science</v>
      </c>
    </row>
    <row r="928" spans="1:72" x14ac:dyDescent="0.15">
      <c r="A928" t="s">
        <v>552</v>
      </c>
      <c r="B928" t="s">
        <v>12708</v>
      </c>
      <c r="C928" t="s">
        <v>74</v>
      </c>
      <c r="D928" t="s">
        <v>74</v>
      </c>
      <c r="E928" t="s">
        <v>74</v>
      </c>
      <c r="F928" t="s">
        <v>12708</v>
      </c>
      <c r="G928" t="s">
        <v>74</v>
      </c>
      <c r="H928" t="s">
        <v>74</v>
      </c>
      <c r="I928" t="s">
        <v>12709</v>
      </c>
      <c r="J928" t="s">
        <v>5806</v>
      </c>
      <c r="K928" t="s">
        <v>74</v>
      </c>
      <c r="L928" t="s">
        <v>74</v>
      </c>
      <c r="M928" t="s">
        <v>78</v>
      </c>
      <c r="N928" t="s">
        <v>775</v>
      </c>
      <c r="O928" t="s">
        <v>74</v>
      </c>
      <c r="P928" t="s">
        <v>74</v>
      </c>
      <c r="Q928" t="s">
        <v>74</v>
      </c>
      <c r="R928" t="s">
        <v>74</v>
      </c>
      <c r="S928" t="s">
        <v>74</v>
      </c>
      <c r="T928" t="s">
        <v>12710</v>
      </c>
      <c r="U928" t="s">
        <v>12711</v>
      </c>
      <c r="V928" t="s">
        <v>12712</v>
      </c>
      <c r="W928" t="s">
        <v>12713</v>
      </c>
      <c r="X928" t="s">
        <v>12714</v>
      </c>
      <c r="Y928" t="s">
        <v>12715</v>
      </c>
      <c r="Z928" t="s">
        <v>12716</v>
      </c>
      <c r="AA928" t="s">
        <v>12717</v>
      </c>
      <c r="AB928" t="s">
        <v>12718</v>
      </c>
      <c r="AC928" t="s">
        <v>74</v>
      </c>
      <c r="AD928" t="s">
        <v>74</v>
      </c>
      <c r="AE928" t="s">
        <v>74</v>
      </c>
      <c r="AF928" t="s">
        <v>74</v>
      </c>
      <c r="AG928">
        <v>35</v>
      </c>
      <c r="AH928">
        <v>96</v>
      </c>
      <c r="AI928">
        <v>100</v>
      </c>
      <c r="AJ928">
        <v>0</v>
      </c>
      <c r="AK928">
        <v>2</v>
      </c>
      <c r="AL928" t="s">
        <v>8566</v>
      </c>
      <c r="AM928" t="s">
        <v>8567</v>
      </c>
      <c r="AN928" t="s">
        <v>8568</v>
      </c>
      <c r="AO928" t="s">
        <v>5816</v>
      </c>
      <c r="AP928" t="s">
        <v>74</v>
      </c>
      <c r="AQ928" t="s">
        <v>74</v>
      </c>
      <c r="AR928" t="s">
        <v>5817</v>
      </c>
      <c r="AS928" t="s">
        <v>5818</v>
      </c>
      <c r="AT928" t="s">
        <v>12719</v>
      </c>
      <c r="AU928">
        <v>2002</v>
      </c>
      <c r="AV928">
        <v>20</v>
      </c>
      <c r="AW928">
        <v>7</v>
      </c>
      <c r="AX928" t="s">
        <v>74</v>
      </c>
      <c r="AY928" t="s">
        <v>74</v>
      </c>
      <c r="AZ928" t="s">
        <v>74</v>
      </c>
      <c r="BA928" t="s">
        <v>74</v>
      </c>
      <c r="BB928">
        <v>967</v>
      </c>
      <c r="BC928">
        <v>979</v>
      </c>
      <c r="BD928" t="s">
        <v>74</v>
      </c>
      <c r="BE928" t="s">
        <v>12720</v>
      </c>
      <c r="BF928" t="str">
        <f>HYPERLINK("http://dx.doi.org/10.5194/angeo-20-967-2002","http://dx.doi.org/10.5194/angeo-20-967-2002")</f>
        <v>http://dx.doi.org/10.5194/angeo-20-967-2002</v>
      </c>
      <c r="BG928" t="s">
        <v>74</v>
      </c>
      <c r="BH928" t="s">
        <v>74</v>
      </c>
      <c r="BI928">
        <v>13</v>
      </c>
      <c r="BJ928" t="s">
        <v>5820</v>
      </c>
      <c r="BK928" t="s">
        <v>569</v>
      </c>
      <c r="BL928" t="s">
        <v>5821</v>
      </c>
      <c r="BM928" t="s">
        <v>12721</v>
      </c>
      <c r="BN928" t="s">
        <v>74</v>
      </c>
      <c r="BO928" t="s">
        <v>2043</v>
      </c>
      <c r="BP928" t="s">
        <v>74</v>
      </c>
      <c r="BQ928" t="s">
        <v>74</v>
      </c>
      <c r="BR928" t="s">
        <v>98</v>
      </c>
      <c r="BS928" t="s">
        <v>12722</v>
      </c>
      <c r="BT928" t="str">
        <f>HYPERLINK("https%3A%2F%2Fwww.webofscience.com%2Fwos%2Fwoscc%2Ffull-record%2FWOS:000177402900009","View Full Record in Web of Science")</f>
        <v>View Full Record in Web of Science</v>
      </c>
    </row>
    <row r="929" spans="1:72" x14ac:dyDescent="0.15">
      <c r="A929" t="s">
        <v>552</v>
      </c>
      <c r="B929" t="s">
        <v>12723</v>
      </c>
      <c r="C929" t="s">
        <v>74</v>
      </c>
      <c r="D929" t="s">
        <v>74</v>
      </c>
      <c r="E929" t="s">
        <v>74</v>
      </c>
      <c r="F929" t="s">
        <v>12723</v>
      </c>
      <c r="G929" t="s">
        <v>74</v>
      </c>
      <c r="H929" t="s">
        <v>74</v>
      </c>
      <c r="I929" t="s">
        <v>12724</v>
      </c>
      <c r="J929" t="s">
        <v>12725</v>
      </c>
      <c r="K929" t="s">
        <v>74</v>
      </c>
      <c r="L929" t="s">
        <v>74</v>
      </c>
      <c r="M929" t="s">
        <v>78</v>
      </c>
      <c r="N929" t="s">
        <v>775</v>
      </c>
      <c r="O929" t="s">
        <v>74</v>
      </c>
      <c r="P929" t="s">
        <v>74</v>
      </c>
      <c r="Q929" t="s">
        <v>74</v>
      </c>
      <c r="R929" t="s">
        <v>74</v>
      </c>
      <c r="S929" t="s">
        <v>74</v>
      </c>
      <c r="T929" t="s">
        <v>74</v>
      </c>
      <c r="U929" t="s">
        <v>12726</v>
      </c>
      <c r="V929" t="s">
        <v>12727</v>
      </c>
      <c r="W929" t="s">
        <v>12728</v>
      </c>
      <c r="X929" t="s">
        <v>12729</v>
      </c>
      <c r="Y929" t="s">
        <v>12730</v>
      </c>
      <c r="Z929" t="s">
        <v>12731</v>
      </c>
      <c r="AA929" t="s">
        <v>74</v>
      </c>
      <c r="AB929" t="s">
        <v>74</v>
      </c>
      <c r="AC929" t="s">
        <v>74</v>
      </c>
      <c r="AD929" t="s">
        <v>74</v>
      </c>
      <c r="AE929" t="s">
        <v>74</v>
      </c>
      <c r="AF929" t="s">
        <v>74</v>
      </c>
      <c r="AG929">
        <v>15</v>
      </c>
      <c r="AH929">
        <v>17</v>
      </c>
      <c r="AI929">
        <v>21</v>
      </c>
      <c r="AJ929">
        <v>0</v>
      </c>
      <c r="AK929">
        <v>9</v>
      </c>
      <c r="AL929" t="s">
        <v>12732</v>
      </c>
      <c r="AM929" t="s">
        <v>12733</v>
      </c>
      <c r="AN929" t="s">
        <v>12734</v>
      </c>
      <c r="AO929" t="s">
        <v>12735</v>
      </c>
      <c r="AP929" t="s">
        <v>12736</v>
      </c>
      <c r="AQ929" t="s">
        <v>74</v>
      </c>
      <c r="AR929" t="s">
        <v>12737</v>
      </c>
      <c r="AS929" t="s">
        <v>12738</v>
      </c>
      <c r="AT929" t="s">
        <v>12705</v>
      </c>
      <c r="AU929">
        <v>2002</v>
      </c>
      <c r="AV929">
        <v>23</v>
      </c>
      <c r="AW929">
        <v>4</v>
      </c>
      <c r="AX929" t="s">
        <v>74</v>
      </c>
      <c r="AY929" t="s">
        <v>74</v>
      </c>
      <c r="AZ929" t="s">
        <v>74</v>
      </c>
      <c r="BA929" t="s">
        <v>74</v>
      </c>
      <c r="BB929">
        <v>129</v>
      </c>
      <c r="BC929">
        <v>134</v>
      </c>
      <c r="BD929" t="s">
        <v>74</v>
      </c>
      <c r="BE929" t="s">
        <v>74</v>
      </c>
      <c r="BF929" t="s">
        <v>74</v>
      </c>
      <c r="BG929" t="s">
        <v>74</v>
      </c>
      <c r="BH929" t="s">
        <v>74</v>
      </c>
      <c r="BI929">
        <v>6</v>
      </c>
      <c r="BJ929" t="s">
        <v>5727</v>
      </c>
      <c r="BK929" t="s">
        <v>569</v>
      </c>
      <c r="BL929" t="s">
        <v>5727</v>
      </c>
      <c r="BM929" t="s">
        <v>12739</v>
      </c>
      <c r="BN929" t="s">
        <v>74</v>
      </c>
      <c r="BO929" t="s">
        <v>74</v>
      </c>
      <c r="BP929" t="s">
        <v>74</v>
      </c>
      <c r="BQ929" t="s">
        <v>74</v>
      </c>
      <c r="BR929" t="s">
        <v>98</v>
      </c>
      <c r="BS929" t="s">
        <v>12740</v>
      </c>
      <c r="BT929" t="str">
        <f>HYPERLINK("https%3A%2F%2Fwww.webofscience.com%2Fwos%2Fwoscc%2Ffull-record%2FWOS:000178355200005","View Full Record in Web of Science")</f>
        <v>View Full Record in Web of Science</v>
      </c>
    </row>
    <row r="930" spans="1:72" x14ac:dyDescent="0.15">
      <c r="A930" t="s">
        <v>552</v>
      </c>
      <c r="B930" t="s">
        <v>12741</v>
      </c>
      <c r="C930" t="s">
        <v>74</v>
      </c>
      <c r="D930" t="s">
        <v>74</v>
      </c>
      <c r="E930" t="s">
        <v>74</v>
      </c>
      <c r="F930" t="s">
        <v>12741</v>
      </c>
      <c r="G930" t="s">
        <v>74</v>
      </c>
      <c r="H930" t="s">
        <v>74</v>
      </c>
      <c r="I930" t="s">
        <v>12742</v>
      </c>
      <c r="J930" t="s">
        <v>12743</v>
      </c>
      <c r="K930" t="s">
        <v>74</v>
      </c>
      <c r="L930" t="s">
        <v>74</v>
      </c>
      <c r="M930" t="s">
        <v>78</v>
      </c>
      <c r="N930" t="s">
        <v>775</v>
      </c>
      <c r="O930" t="s">
        <v>74</v>
      </c>
      <c r="P930" t="s">
        <v>74</v>
      </c>
      <c r="Q930" t="s">
        <v>74</v>
      </c>
      <c r="R930" t="s">
        <v>74</v>
      </c>
      <c r="S930" t="s">
        <v>74</v>
      </c>
      <c r="T930" t="s">
        <v>74</v>
      </c>
      <c r="U930" t="s">
        <v>12744</v>
      </c>
      <c r="V930" t="s">
        <v>12745</v>
      </c>
      <c r="W930" t="s">
        <v>12746</v>
      </c>
      <c r="X930" t="s">
        <v>12747</v>
      </c>
      <c r="Y930" t="s">
        <v>12748</v>
      </c>
      <c r="Z930" t="s">
        <v>74</v>
      </c>
      <c r="AA930" t="s">
        <v>74</v>
      </c>
      <c r="AB930" t="s">
        <v>74</v>
      </c>
      <c r="AC930" t="s">
        <v>74</v>
      </c>
      <c r="AD930" t="s">
        <v>74</v>
      </c>
      <c r="AE930" t="s">
        <v>74</v>
      </c>
      <c r="AF930" t="s">
        <v>74</v>
      </c>
      <c r="AG930">
        <v>32</v>
      </c>
      <c r="AH930">
        <v>22</v>
      </c>
      <c r="AI930">
        <v>23</v>
      </c>
      <c r="AJ930">
        <v>0</v>
      </c>
      <c r="AK930">
        <v>8</v>
      </c>
      <c r="AL930" t="s">
        <v>12749</v>
      </c>
      <c r="AM930" t="s">
        <v>3784</v>
      </c>
      <c r="AN930" t="s">
        <v>11631</v>
      </c>
      <c r="AO930" t="s">
        <v>12750</v>
      </c>
      <c r="AP930" t="s">
        <v>74</v>
      </c>
      <c r="AQ930" t="s">
        <v>74</v>
      </c>
      <c r="AR930" t="s">
        <v>12743</v>
      </c>
      <c r="AS930" t="s">
        <v>12743</v>
      </c>
      <c r="AT930" t="s">
        <v>12719</v>
      </c>
      <c r="AU930">
        <v>2002</v>
      </c>
      <c r="AV930">
        <v>119</v>
      </c>
      <c r="AW930">
        <v>3</v>
      </c>
      <c r="AX930" t="s">
        <v>74</v>
      </c>
      <c r="AY930" t="s">
        <v>74</v>
      </c>
      <c r="AZ930" t="s">
        <v>74</v>
      </c>
      <c r="BA930" t="s">
        <v>74</v>
      </c>
      <c r="BB930">
        <v>858</v>
      </c>
      <c r="BC930">
        <v>863</v>
      </c>
      <c r="BD930" t="s">
        <v>74</v>
      </c>
      <c r="BE930" t="s">
        <v>12751</v>
      </c>
      <c r="BF930" t="str">
        <f>HYPERLINK("http://dx.doi.org/10.1642/0004-8038(2002)119[0858:MPARSD]2.0.CO;2","http://dx.doi.org/10.1642/0004-8038(2002)119[0858:MPARSD]2.0.CO;2")</f>
        <v>http://dx.doi.org/10.1642/0004-8038(2002)119[0858:MPARSD]2.0.CO;2</v>
      </c>
      <c r="BG930" t="s">
        <v>74</v>
      </c>
      <c r="BH930" t="s">
        <v>74</v>
      </c>
      <c r="BI930">
        <v>6</v>
      </c>
      <c r="BJ930" t="s">
        <v>926</v>
      </c>
      <c r="BK930" t="s">
        <v>569</v>
      </c>
      <c r="BL930" t="s">
        <v>927</v>
      </c>
      <c r="BM930" t="s">
        <v>12752</v>
      </c>
      <c r="BN930" t="s">
        <v>74</v>
      </c>
      <c r="BO930" t="s">
        <v>74</v>
      </c>
      <c r="BP930" t="s">
        <v>74</v>
      </c>
      <c r="BQ930" t="s">
        <v>74</v>
      </c>
      <c r="BR930" t="s">
        <v>98</v>
      </c>
      <c r="BS930" t="s">
        <v>12753</v>
      </c>
      <c r="BT930" t="str">
        <f>HYPERLINK("https%3A%2F%2Fwww.webofscience.com%2Fwos%2Fwoscc%2Ffull-record%2FWOS:000177980300030","View Full Record in Web of Science")</f>
        <v>View Full Record in Web of Science</v>
      </c>
    </row>
    <row r="931" spans="1:72" x14ac:dyDescent="0.15">
      <c r="A931" t="s">
        <v>552</v>
      </c>
      <c r="B931" t="s">
        <v>12754</v>
      </c>
      <c r="C931" t="s">
        <v>74</v>
      </c>
      <c r="D931" t="s">
        <v>74</v>
      </c>
      <c r="E931" t="s">
        <v>74</v>
      </c>
      <c r="F931" t="s">
        <v>12754</v>
      </c>
      <c r="G931" t="s">
        <v>74</v>
      </c>
      <c r="H931" t="s">
        <v>74</v>
      </c>
      <c r="I931" t="s">
        <v>12755</v>
      </c>
      <c r="J931" t="s">
        <v>12756</v>
      </c>
      <c r="K931" t="s">
        <v>74</v>
      </c>
      <c r="L931" t="s">
        <v>74</v>
      </c>
      <c r="M931" t="s">
        <v>78</v>
      </c>
      <c r="N931" t="s">
        <v>1114</v>
      </c>
      <c r="O931" t="s">
        <v>74</v>
      </c>
      <c r="P931" t="s">
        <v>74</v>
      </c>
      <c r="Q931" t="s">
        <v>74</v>
      </c>
      <c r="R931" t="s">
        <v>74</v>
      </c>
      <c r="S931" t="s">
        <v>74</v>
      </c>
      <c r="T931" t="s">
        <v>12757</v>
      </c>
      <c r="U931" t="s">
        <v>12758</v>
      </c>
      <c r="V931" t="s">
        <v>12759</v>
      </c>
      <c r="W931" t="s">
        <v>12760</v>
      </c>
      <c r="X931" t="s">
        <v>12761</v>
      </c>
      <c r="Y931" t="s">
        <v>12762</v>
      </c>
      <c r="Z931" t="s">
        <v>74</v>
      </c>
      <c r="AA931" t="s">
        <v>74</v>
      </c>
      <c r="AB931" t="s">
        <v>74</v>
      </c>
      <c r="AC931" t="s">
        <v>74</v>
      </c>
      <c r="AD931" t="s">
        <v>74</v>
      </c>
      <c r="AE931" t="s">
        <v>74</v>
      </c>
      <c r="AF931" t="s">
        <v>74</v>
      </c>
      <c r="AG931">
        <v>38</v>
      </c>
      <c r="AH931">
        <v>7</v>
      </c>
      <c r="AI931">
        <v>8</v>
      </c>
      <c r="AJ931">
        <v>0</v>
      </c>
      <c r="AK931">
        <v>4</v>
      </c>
      <c r="AL931" t="s">
        <v>12763</v>
      </c>
      <c r="AM931" t="s">
        <v>923</v>
      </c>
      <c r="AN931" t="s">
        <v>964</v>
      </c>
      <c r="AO931" t="s">
        <v>12764</v>
      </c>
      <c r="AP931" t="s">
        <v>74</v>
      </c>
      <c r="AQ931" t="s">
        <v>74</v>
      </c>
      <c r="AR931" t="s">
        <v>12765</v>
      </c>
      <c r="AS931" t="s">
        <v>12766</v>
      </c>
      <c r="AT931" t="s">
        <v>12705</v>
      </c>
      <c r="AU931">
        <v>2002</v>
      </c>
      <c r="AV931">
        <v>383</v>
      </c>
      <c r="AW931" t="s">
        <v>12767</v>
      </c>
      <c r="AX931" t="s">
        <v>74</v>
      </c>
      <c r="AY931" t="s">
        <v>74</v>
      </c>
      <c r="AZ931" t="s">
        <v>74</v>
      </c>
      <c r="BA931" t="s">
        <v>74</v>
      </c>
      <c r="BB931">
        <v>1125</v>
      </c>
      <c r="BC931">
        <v>1131</v>
      </c>
      <c r="BD931" t="s">
        <v>74</v>
      </c>
      <c r="BE931" t="s">
        <v>12768</v>
      </c>
      <c r="BF931" t="str">
        <f>HYPERLINK("http://dx.doi.org/10.1515/BC.2002.122","http://dx.doi.org/10.1515/BC.2002.122")</f>
        <v>http://dx.doi.org/10.1515/BC.2002.122</v>
      </c>
      <c r="BG931" t="s">
        <v>74</v>
      </c>
      <c r="BH931" t="s">
        <v>74</v>
      </c>
      <c r="BI931">
        <v>7</v>
      </c>
      <c r="BJ931" t="s">
        <v>2171</v>
      </c>
      <c r="BK931" t="s">
        <v>569</v>
      </c>
      <c r="BL931" t="s">
        <v>2171</v>
      </c>
      <c r="BM931" t="s">
        <v>12769</v>
      </c>
      <c r="BN931">
        <v>12437096</v>
      </c>
      <c r="BO931" t="s">
        <v>74</v>
      </c>
      <c r="BP931" t="s">
        <v>74</v>
      </c>
      <c r="BQ931" t="s">
        <v>74</v>
      </c>
      <c r="BR931" t="s">
        <v>98</v>
      </c>
      <c r="BS931" t="s">
        <v>12770</v>
      </c>
      <c r="BT931" t="str">
        <f>HYPERLINK("https%3A%2F%2Fwww.webofscience.com%2Fwos%2Fwoscc%2Ffull-record%2FWOS:000177737800013","View Full Record in Web of Science")</f>
        <v>View Full Record in Web of Science</v>
      </c>
    </row>
    <row r="932" spans="1:72" x14ac:dyDescent="0.15">
      <c r="A932" t="s">
        <v>552</v>
      </c>
      <c r="B932" t="s">
        <v>12771</v>
      </c>
      <c r="C932" t="s">
        <v>74</v>
      </c>
      <c r="D932" t="s">
        <v>74</v>
      </c>
      <c r="E932" t="s">
        <v>74</v>
      </c>
      <c r="F932" t="s">
        <v>12771</v>
      </c>
      <c r="G932" t="s">
        <v>74</v>
      </c>
      <c r="H932" t="s">
        <v>74</v>
      </c>
      <c r="I932" t="s">
        <v>12772</v>
      </c>
      <c r="J932" t="s">
        <v>9984</v>
      </c>
      <c r="K932" t="s">
        <v>74</v>
      </c>
      <c r="L932" t="s">
        <v>74</v>
      </c>
      <c r="M932" t="s">
        <v>78</v>
      </c>
      <c r="N932" t="s">
        <v>576</v>
      </c>
      <c r="O932" t="s">
        <v>10008</v>
      </c>
      <c r="P932" t="s">
        <v>9986</v>
      </c>
      <c r="Q932" t="s">
        <v>9987</v>
      </c>
      <c r="R932" t="s">
        <v>74</v>
      </c>
      <c r="S932" t="s">
        <v>9988</v>
      </c>
      <c r="T932" t="s">
        <v>74</v>
      </c>
      <c r="U932" t="s">
        <v>12773</v>
      </c>
      <c r="V932" t="s">
        <v>12774</v>
      </c>
      <c r="W932" t="s">
        <v>12775</v>
      </c>
      <c r="X932" t="s">
        <v>3544</v>
      </c>
      <c r="Y932" t="s">
        <v>12776</v>
      </c>
      <c r="Z932" t="s">
        <v>74</v>
      </c>
      <c r="AA932" t="s">
        <v>74</v>
      </c>
      <c r="AB932" t="s">
        <v>74</v>
      </c>
      <c r="AC932" t="s">
        <v>74</v>
      </c>
      <c r="AD932" t="s">
        <v>74</v>
      </c>
      <c r="AE932" t="s">
        <v>74</v>
      </c>
      <c r="AF932" t="s">
        <v>74</v>
      </c>
      <c r="AG932">
        <v>24</v>
      </c>
      <c r="AH932">
        <v>9</v>
      </c>
      <c r="AI932">
        <v>10</v>
      </c>
      <c r="AJ932">
        <v>0</v>
      </c>
      <c r="AK932">
        <v>7</v>
      </c>
      <c r="AL932" t="s">
        <v>9997</v>
      </c>
      <c r="AM932" t="s">
        <v>9998</v>
      </c>
      <c r="AN932" t="s">
        <v>9999</v>
      </c>
      <c r="AO932" t="s">
        <v>10000</v>
      </c>
      <c r="AP932" t="s">
        <v>74</v>
      </c>
      <c r="AQ932" t="s">
        <v>74</v>
      </c>
      <c r="AR932" t="s">
        <v>10002</v>
      </c>
      <c r="AS932" t="s">
        <v>10003</v>
      </c>
      <c r="AT932" t="s">
        <v>12719</v>
      </c>
      <c r="AU932">
        <v>2002</v>
      </c>
      <c r="AV932">
        <v>71</v>
      </c>
      <c r="AW932">
        <v>1</v>
      </c>
      <c r="AX932" t="s">
        <v>74</v>
      </c>
      <c r="AY932" t="s">
        <v>74</v>
      </c>
      <c r="AZ932" t="s">
        <v>74</v>
      </c>
      <c r="BA932" t="s">
        <v>74</v>
      </c>
      <c r="BB932">
        <v>97</v>
      </c>
      <c r="BC932">
        <v>108</v>
      </c>
      <c r="BD932" t="s">
        <v>74</v>
      </c>
      <c r="BE932" t="s">
        <v>74</v>
      </c>
      <c r="BF932" t="s">
        <v>74</v>
      </c>
      <c r="BG932" t="s">
        <v>74</v>
      </c>
      <c r="BH932" t="s">
        <v>74</v>
      </c>
      <c r="BI932">
        <v>12</v>
      </c>
      <c r="BJ932" t="s">
        <v>3127</v>
      </c>
      <c r="BK932" t="s">
        <v>589</v>
      </c>
      <c r="BL932" t="s">
        <v>3127</v>
      </c>
      <c r="BM932" t="s">
        <v>12777</v>
      </c>
      <c r="BN932" t="s">
        <v>74</v>
      </c>
      <c r="BO932" t="s">
        <v>74</v>
      </c>
      <c r="BP932" t="s">
        <v>74</v>
      </c>
      <c r="BQ932" t="s">
        <v>74</v>
      </c>
      <c r="BR932" t="s">
        <v>98</v>
      </c>
      <c r="BS932" t="s">
        <v>12778</v>
      </c>
      <c r="BT932" t="str">
        <f>HYPERLINK("https%3A%2F%2Fwww.webofscience.com%2Fwos%2Fwoscc%2Ffull-record%2FWOS:000182619900009","View Full Record in Web of Science")</f>
        <v>View Full Record in Web of Science</v>
      </c>
    </row>
    <row r="933" spans="1:72" x14ac:dyDescent="0.15">
      <c r="A933" t="s">
        <v>552</v>
      </c>
      <c r="B933" t="s">
        <v>12779</v>
      </c>
      <c r="C933" t="s">
        <v>74</v>
      </c>
      <c r="D933" t="s">
        <v>74</v>
      </c>
      <c r="E933" t="s">
        <v>74</v>
      </c>
      <c r="F933" t="s">
        <v>12779</v>
      </c>
      <c r="G933" t="s">
        <v>74</v>
      </c>
      <c r="H933" t="s">
        <v>74</v>
      </c>
      <c r="I933" t="s">
        <v>12780</v>
      </c>
      <c r="J933" t="s">
        <v>9984</v>
      </c>
      <c r="K933" t="s">
        <v>74</v>
      </c>
      <c r="L933" t="s">
        <v>74</v>
      </c>
      <c r="M933" t="s">
        <v>78</v>
      </c>
      <c r="N933" t="s">
        <v>576</v>
      </c>
      <c r="O933" t="s">
        <v>10008</v>
      </c>
      <c r="P933" t="s">
        <v>9986</v>
      </c>
      <c r="Q933" t="s">
        <v>9987</v>
      </c>
      <c r="R933" t="s">
        <v>74</v>
      </c>
      <c r="S933" t="s">
        <v>9988</v>
      </c>
      <c r="T933" t="s">
        <v>74</v>
      </c>
      <c r="U933" t="s">
        <v>12781</v>
      </c>
      <c r="V933" t="s">
        <v>12782</v>
      </c>
      <c r="W933" t="s">
        <v>12783</v>
      </c>
      <c r="X933" t="s">
        <v>12784</v>
      </c>
      <c r="Y933" t="s">
        <v>6381</v>
      </c>
      <c r="Z933" t="s">
        <v>74</v>
      </c>
      <c r="AA933" t="s">
        <v>12785</v>
      </c>
      <c r="AB933" t="s">
        <v>12786</v>
      </c>
      <c r="AC933" t="s">
        <v>74</v>
      </c>
      <c r="AD933" t="s">
        <v>74</v>
      </c>
      <c r="AE933" t="s">
        <v>74</v>
      </c>
      <c r="AF933" t="s">
        <v>74</v>
      </c>
      <c r="AG933">
        <v>47</v>
      </c>
      <c r="AH933">
        <v>23</v>
      </c>
      <c r="AI933">
        <v>26</v>
      </c>
      <c r="AJ933">
        <v>0</v>
      </c>
      <c r="AK933">
        <v>11</v>
      </c>
      <c r="AL933" t="s">
        <v>9997</v>
      </c>
      <c r="AM933" t="s">
        <v>9998</v>
      </c>
      <c r="AN933" t="s">
        <v>9999</v>
      </c>
      <c r="AO933" t="s">
        <v>10000</v>
      </c>
      <c r="AP933" t="s">
        <v>74</v>
      </c>
      <c r="AQ933" t="s">
        <v>74</v>
      </c>
      <c r="AR933" t="s">
        <v>10002</v>
      </c>
      <c r="AS933" t="s">
        <v>10003</v>
      </c>
      <c r="AT933" t="s">
        <v>12719</v>
      </c>
      <c r="AU933">
        <v>2002</v>
      </c>
      <c r="AV933">
        <v>71</v>
      </c>
      <c r="AW933">
        <v>1</v>
      </c>
      <c r="AX933" t="s">
        <v>74</v>
      </c>
      <c r="AY933" t="s">
        <v>74</v>
      </c>
      <c r="AZ933" t="s">
        <v>74</v>
      </c>
      <c r="BA933" t="s">
        <v>74</v>
      </c>
      <c r="BB933">
        <v>239</v>
      </c>
      <c r="BC933">
        <v>254</v>
      </c>
      <c r="BD933" t="s">
        <v>74</v>
      </c>
      <c r="BE933" t="s">
        <v>74</v>
      </c>
      <c r="BF933" t="s">
        <v>74</v>
      </c>
      <c r="BG933" t="s">
        <v>74</v>
      </c>
      <c r="BH933" t="s">
        <v>74</v>
      </c>
      <c r="BI933">
        <v>16</v>
      </c>
      <c r="BJ933" t="s">
        <v>3127</v>
      </c>
      <c r="BK933" t="s">
        <v>589</v>
      </c>
      <c r="BL933" t="s">
        <v>3127</v>
      </c>
      <c r="BM933" t="s">
        <v>12777</v>
      </c>
      <c r="BN933" t="s">
        <v>74</v>
      </c>
      <c r="BO933" t="s">
        <v>74</v>
      </c>
      <c r="BP933" t="s">
        <v>74</v>
      </c>
      <c r="BQ933" t="s">
        <v>74</v>
      </c>
      <c r="BR933" t="s">
        <v>98</v>
      </c>
      <c r="BS933" t="s">
        <v>12787</v>
      </c>
      <c r="BT933" t="str">
        <f>HYPERLINK("https%3A%2F%2Fwww.webofscience.com%2Fwos%2Fwoscc%2Ffull-record%2FWOS:000182619900019","View Full Record in Web of Science")</f>
        <v>View Full Record in Web of Science</v>
      </c>
    </row>
    <row r="934" spans="1:72" x14ac:dyDescent="0.15">
      <c r="A934" t="s">
        <v>552</v>
      </c>
      <c r="B934" t="s">
        <v>12788</v>
      </c>
      <c r="C934" t="s">
        <v>74</v>
      </c>
      <c r="D934" t="s">
        <v>74</v>
      </c>
      <c r="E934" t="s">
        <v>74</v>
      </c>
      <c r="F934" t="s">
        <v>12788</v>
      </c>
      <c r="G934" t="s">
        <v>74</v>
      </c>
      <c r="H934" t="s">
        <v>74</v>
      </c>
      <c r="I934" t="s">
        <v>12789</v>
      </c>
      <c r="J934" t="s">
        <v>9984</v>
      </c>
      <c r="K934" t="s">
        <v>74</v>
      </c>
      <c r="L934" t="s">
        <v>74</v>
      </c>
      <c r="M934" t="s">
        <v>78</v>
      </c>
      <c r="N934" t="s">
        <v>576</v>
      </c>
      <c r="O934" t="s">
        <v>10008</v>
      </c>
      <c r="P934" t="s">
        <v>9986</v>
      </c>
      <c r="Q934" t="s">
        <v>9987</v>
      </c>
      <c r="R934" t="s">
        <v>74</v>
      </c>
      <c r="S934" t="s">
        <v>9988</v>
      </c>
      <c r="T934" t="s">
        <v>74</v>
      </c>
      <c r="U934" t="s">
        <v>12790</v>
      </c>
      <c r="V934" t="s">
        <v>12791</v>
      </c>
      <c r="W934" t="s">
        <v>12792</v>
      </c>
      <c r="X934" t="s">
        <v>1026</v>
      </c>
      <c r="Y934" t="s">
        <v>12793</v>
      </c>
      <c r="Z934" t="s">
        <v>74</v>
      </c>
      <c r="AA934" t="s">
        <v>74</v>
      </c>
      <c r="AB934" t="s">
        <v>74</v>
      </c>
      <c r="AC934" t="s">
        <v>74</v>
      </c>
      <c r="AD934" t="s">
        <v>74</v>
      </c>
      <c r="AE934" t="s">
        <v>74</v>
      </c>
      <c r="AF934" t="s">
        <v>74</v>
      </c>
      <c r="AG934">
        <v>45</v>
      </c>
      <c r="AH934">
        <v>11</v>
      </c>
      <c r="AI934">
        <v>11</v>
      </c>
      <c r="AJ934">
        <v>0</v>
      </c>
      <c r="AK934">
        <v>7</v>
      </c>
      <c r="AL934" t="s">
        <v>9997</v>
      </c>
      <c r="AM934" t="s">
        <v>9998</v>
      </c>
      <c r="AN934" t="s">
        <v>9999</v>
      </c>
      <c r="AO934" t="s">
        <v>10000</v>
      </c>
      <c r="AP934" t="s">
        <v>74</v>
      </c>
      <c r="AQ934" t="s">
        <v>74</v>
      </c>
      <c r="AR934" t="s">
        <v>10002</v>
      </c>
      <c r="AS934" t="s">
        <v>10003</v>
      </c>
      <c r="AT934" t="s">
        <v>12719</v>
      </c>
      <c r="AU934">
        <v>2002</v>
      </c>
      <c r="AV934">
        <v>71</v>
      </c>
      <c r="AW934">
        <v>1</v>
      </c>
      <c r="AX934" t="s">
        <v>74</v>
      </c>
      <c r="AY934" t="s">
        <v>74</v>
      </c>
      <c r="AZ934" t="s">
        <v>74</v>
      </c>
      <c r="BA934" t="s">
        <v>74</v>
      </c>
      <c r="BB934">
        <v>255</v>
      </c>
      <c r="BC934">
        <v>267</v>
      </c>
      <c r="BD934" t="s">
        <v>74</v>
      </c>
      <c r="BE934" t="s">
        <v>74</v>
      </c>
      <c r="BF934" t="s">
        <v>74</v>
      </c>
      <c r="BG934" t="s">
        <v>74</v>
      </c>
      <c r="BH934" t="s">
        <v>74</v>
      </c>
      <c r="BI934">
        <v>13</v>
      </c>
      <c r="BJ934" t="s">
        <v>3127</v>
      </c>
      <c r="BK934" t="s">
        <v>589</v>
      </c>
      <c r="BL934" t="s">
        <v>3127</v>
      </c>
      <c r="BM934" t="s">
        <v>12777</v>
      </c>
      <c r="BN934" t="s">
        <v>74</v>
      </c>
      <c r="BO934" t="s">
        <v>74</v>
      </c>
      <c r="BP934" t="s">
        <v>74</v>
      </c>
      <c r="BQ934" t="s">
        <v>74</v>
      </c>
      <c r="BR934" t="s">
        <v>98</v>
      </c>
      <c r="BS934" t="s">
        <v>12794</v>
      </c>
      <c r="BT934" t="str">
        <f>HYPERLINK("https%3A%2F%2Fwww.webofscience.com%2Fwos%2Fwoscc%2Ffull-record%2FWOS:000182619900020","View Full Record in Web of Science")</f>
        <v>View Full Record in Web of Science</v>
      </c>
    </row>
    <row r="935" spans="1:72" x14ac:dyDescent="0.15">
      <c r="A935" t="s">
        <v>552</v>
      </c>
      <c r="B935" t="s">
        <v>12795</v>
      </c>
      <c r="C935" t="s">
        <v>74</v>
      </c>
      <c r="D935" t="s">
        <v>74</v>
      </c>
      <c r="E935" t="s">
        <v>74</v>
      </c>
      <c r="F935" t="s">
        <v>12795</v>
      </c>
      <c r="G935" t="s">
        <v>74</v>
      </c>
      <c r="H935" t="s">
        <v>74</v>
      </c>
      <c r="I935" t="s">
        <v>12796</v>
      </c>
      <c r="J935" t="s">
        <v>1221</v>
      </c>
      <c r="K935" t="s">
        <v>74</v>
      </c>
      <c r="L935" t="s">
        <v>74</v>
      </c>
      <c r="M935" t="s">
        <v>78</v>
      </c>
      <c r="N935" t="s">
        <v>775</v>
      </c>
      <c r="O935" t="s">
        <v>74</v>
      </c>
      <c r="P935" t="s">
        <v>74</v>
      </c>
      <c r="Q935" t="s">
        <v>74</v>
      </c>
      <c r="R935" t="s">
        <v>74</v>
      </c>
      <c r="S935" t="s">
        <v>74</v>
      </c>
      <c r="T935" t="s">
        <v>74</v>
      </c>
      <c r="U935" t="s">
        <v>12797</v>
      </c>
      <c r="V935" t="s">
        <v>12798</v>
      </c>
      <c r="W935" t="s">
        <v>12799</v>
      </c>
      <c r="X935" t="s">
        <v>12800</v>
      </c>
      <c r="Y935" t="s">
        <v>12801</v>
      </c>
      <c r="Z935" t="s">
        <v>12802</v>
      </c>
      <c r="AA935" t="s">
        <v>12803</v>
      </c>
      <c r="AB935" t="s">
        <v>12804</v>
      </c>
      <c r="AC935" t="s">
        <v>74</v>
      </c>
      <c r="AD935" t="s">
        <v>74</v>
      </c>
      <c r="AE935" t="s">
        <v>74</v>
      </c>
      <c r="AF935" t="s">
        <v>74</v>
      </c>
      <c r="AG935">
        <v>26</v>
      </c>
      <c r="AH935">
        <v>11</v>
      </c>
      <c r="AI935">
        <v>11</v>
      </c>
      <c r="AJ935">
        <v>0</v>
      </c>
      <c r="AK935">
        <v>4</v>
      </c>
      <c r="AL935" t="s">
        <v>1230</v>
      </c>
      <c r="AM935" t="s">
        <v>561</v>
      </c>
      <c r="AN935" t="s">
        <v>2959</v>
      </c>
      <c r="AO935" t="s">
        <v>1232</v>
      </c>
      <c r="AP935" t="s">
        <v>74</v>
      </c>
      <c r="AQ935" t="s">
        <v>74</v>
      </c>
      <c r="AR935" t="s">
        <v>1234</v>
      </c>
      <c r="AS935" t="s">
        <v>1235</v>
      </c>
      <c r="AT935" t="s">
        <v>12719</v>
      </c>
      <c r="AU935">
        <v>2002</v>
      </c>
      <c r="AV935">
        <v>19</v>
      </c>
      <c r="AW935" t="s">
        <v>1424</v>
      </c>
      <c r="AX935" t="s">
        <v>74</v>
      </c>
      <c r="AY935" t="s">
        <v>74</v>
      </c>
      <c r="AZ935" t="s">
        <v>74</v>
      </c>
      <c r="BA935" t="s">
        <v>74</v>
      </c>
      <c r="BB935">
        <v>267</v>
      </c>
      <c r="BC935">
        <v>276</v>
      </c>
      <c r="BD935" t="s">
        <v>74</v>
      </c>
      <c r="BE935" t="s">
        <v>12805</v>
      </c>
      <c r="BF935" t="str">
        <f>HYPERLINK("http://dx.doi.org/10.1007/s00382-002-0226-z","http://dx.doi.org/10.1007/s00382-002-0226-z")</f>
        <v>http://dx.doi.org/10.1007/s00382-002-0226-z</v>
      </c>
      <c r="BG935" t="s">
        <v>74</v>
      </c>
      <c r="BH935" t="s">
        <v>74</v>
      </c>
      <c r="BI935">
        <v>10</v>
      </c>
      <c r="BJ935" t="s">
        <v>1237</v>
      </c>
      <c r="BK935" t="s">
        <v>569</v>
      </c>
      <c r="BL935" t="s">
        <v>1237</v>
      </c>
      <c r="BM935" t="s">
        <v>12806</v>
      </c>
      <c r="BN935" t="s">
        <v>74</v>
      </c>
      <c r="BO935" t="s">
        <v>74</v>
      </c>
      <c r="BP935" t="s">
        <v>74</v>
      </c>
      <c r="BQ935" t="s">
        <v>74</v>
      </c>
      <c r="BR935" t="s">
        <v>98</v>
      </c>
      <c r="BS935" t="s">
        <v>12807</v>
      </c>
      <c r="BT935" t="str">
        <f>HYPERLINK("https%3A%2F%2Fwww.webofscience.com%2Fwos%2Fwoscc%2Ffull-record%2FWOS:000177244000005","View Full Record in Web of Science")</f>
        <v>View Full Record in Web of Science</v>
      </c>
    </row>
    <row r="936" spans="1:72" x14ac:dyDescent="0.15">
      <c r="A936" t="s">
        <v>552</v>
      </c>
      <c r="B936" t="s">
        <v>12808</v>
      </c>
      <c r="C936" t="s">
        <v>74</v>
      </c>
      <c r="D936" t="s">
        <v>74</v>
      </c>
      <c r="E936" t="s">
        <v>74</v>
      </c>
      <c r="F936" t="s">
        <v>12808</v>
      </c>
      <c r="G936" t="s">
        <v>74</v>
      </c>
      <c r="H936" t="s">
        <v>74</v>
      </c>
      <c r="I936" t="s">
        <v>12809</v>
      </c>
      <c r="J936" t="s">
        <v>12810</v>
      </c>
      <c r="K936" t="s">
        <v>74</v>
      </c>
      <c r="L936" t="s">
        <v>74</v>
      </c>
      <c r="M936" t="s">
        <v>78</v>
      </c>
      <c r="N936" t="s">
        <v>775</v>
      </c>
      <c r="O936" t="s">
        <v>74</v>
      </c>
      <c r="P936" t="s">
        <v>74</v>
      </c>
      <c r="Q936" t="s">
        <v>74</v>
      </c>
      <c r="R936" t="s">
        <v>74</v>
      </c>
      <c r="S936" t="s">
        <v>74</v>
      </c>
      <c r="T936" t="s">
        <v>12811</v>
      </c>
      <c r="U936" t="s">
        <v>12812</v>
      </c>
      <c r="V936" t="s">
        <v>12813</v>
      </c>
      <c r="W936" t="s">
        <v>12814</v>
      </c>
      <c r="X936" t="s">
        <v>12815</v>
      </c>
      <c r="Y936" t="s">
        <v>12816</v>
      </c>
      <c r="Z936" t="s">
        <v>12817</v>
      </c>
      <c r="AA936" t="s">
        <v>12818</v>
      </c>
      <c r="AB936" t="s">
        <v>12819</v>
      </c>
      <c r="AC936" t="s">
        <v>74</v>
      </c>
      <c r="AD936" t="s">
        <v>74</v>
      </c>
      <c r="AE936" t="s">
        <v>74</v>
      </c>
      <c r="AF936" t="s">
        <v>74</v>
      </c>
      <c r="AG936">
        <v>24</v>
      </c>
      <c r="AH936">
        <v>16</v>
      </c>
      <c r="AI936">
        <v>19</v>
      </c>
      <c r="AJ936">
        <v>0</v>
      </c>
      <c r="AK936">
        <v>2</v>
      </c>
      <c r="AL936" t="s">
        <v>806</v>
      </c>
      <c r="AM936" t="s">
        <v>807</v>
      </c>
      <c r="AN936" t="s">
        <v>808</v>
      </c>
      <c r="AO936" t="s">
        <v>12820</v>
      </c>
      <c r="AP936" t="s">
        <v>12821</v>
      </c>
      <c r="AQ936" t="s">
        <v>74</v>
      </c>
      <c r="AR936" t="s">
        <v>12822</v>
      </c>
      <c r="AS936" t="s">
        <v>12823</v>
      </c>
      <c r="AT936" t="s">
        <v>12719</v>
      </c>
      <c r="AU936">
        <v>2002</v>
      </c>
      <c r="AV936">
        <v>28</v>
      </c>
      <c r="AW936">
        <v>6</v>
      </c>
      <c r="AX936" t="s">
        <v>74</v>
      </c>
      <c r="AY936" t="s">
        <v>74</v>
      </c>
      <c r="AZ936" t="s">
        <v>74</v>
      </c>
      <c r="BA936" t="s">
        <v>74</v>
      </c>
      <c r="BB936">
        <v>723</v>
      </c>
      <c r="BC936">
        <v>734</v>
      </c>
      <c r="BD936" t="s">
        <v>12824</v>
      </c>
      <c r="BE936" t="s">
        <v>12825</v>
      </c>
      <c r="BF936" t="str">
        <f>HYPERLINK("http://dx.doi.org/10.1016/S0098-3004(01)00106-6","http://dx.doi.org/10.1016/S0098-3004(01)00106-6")</f>
        <v>http://dx.doi.org/10.1016/S0098-3004(01)00106-6</v>
      </c>
      <c r="BG936" t="s">
        <v>74</v>
      </c>
      <c r="BH936" t="s">
        <v>74</v>
      </c>
      <c r="BI936">
        <v>12</v>
      </c>
      <c r="BJ936" t="s">
        <v>12826</v>
      </c>
      <c r="BK936" t="s">
        <v>569</v>
      </c>
      <c r="BL936" t="s">
        <v>12827</v>
      </c>
      <c r="BM936" t="s">
        <v>12828</v>
      </c>
      <c r="BN936" t="s">
        <v>74</v>
      </c>
      <c r="BO936" t="s">
        <v>1574</v>
      </c>
      <c r="BP936" t="s">
        <v>74</v>
      </c>
      <c r="BQ936" t="s">
        <v>74</v>
      </c>
      <c r="BR936" t="s">
        <v>98</v>
      </c>
      <c r="BS936" t="s">
        <v>12829</v>
      </c>
      <c r="BT936" t="str">
        <f>HYPERLINK("https%3A%2F%2Fwww.webofscience.com%2Fwos%2Fwoscc%2Ffull-record%2FWOS:000175998600001","View Full Record in Web of Science")</f>
        <v>View Full Record in Web of Science</v>
      </c>
    </row>
    <row r="937" spans="1:72" x14ac:dyDescent="0.15">
      <c r="A937" t="s">
        <v>552</v>
      </c>
      <c r="B937" t="s">
        <v>12830</v>
      </c>
      <c r="C937" t="s">
        <v>74</v>
      </c>
      <c r="D937" t="s">
        <v>74</v>
      </c>
      <c r="E937" t="s">
        <v>74</v>
      </c>
      <c r="F937" t="s">
        <v>12830</v>
      </c>
      <c r="G937" t="s">
        <v>74</v>
      </c>
      <c r="H937" t="s">
        <v>74</v>
      </c>
      <c r="I937" t="s">
        <v>12831</v>
      </c>
      <c r="J937" t="s">
        <v>12832</v>
      </c>
      <c r="K937" t="s">
        <v>74</v>
      </c>
      <c r="L937" t="s">
        <v>74</v>
      </c>
      <c r="M937" t="s">
        <v>78</v>
      </c>
      <c r="N937" t="s">
        <v>775</v>
      </c>
      <c r="O937" t="s">
        <v>74</v>
      </c>
      <c r="P937" t="s">
        <v>74</v>
      </c>
      <c r="Q937" t="s">
        <v>74</v>
      </c>
      <c r="R937" t="s">
        <v>74</v>
      </c>
      <c r="S937" t="s">
        <v>74</v>
      </c>
      <c r="T937" t="s">
        <v>74</v>
      </c>
      <c r="U937" t="s">
        <v>74</v>
      </c>
      <c r="V937" t="s">
        <v>12833</v>
      </c>
      <c r="W937" t="s">
        <v>12834</v>
      </c>
      <c r="X937" t="s">
        <v>12835</v>
      </c>
      <c r="Y937" t="s">
        <v>12836</v>
      </c>
      <c r="Z937" t="s">
        <v>74</v>
      </c>
      <c r="AA937" t="s">
        <v>74</v>
      </c>
      <c r="AB937" t="s">
        <v>74</v>
      </c>
      <c r="AC937" t="s">
        <v>74</v>
      </c>
      <c r="AD937" t="s">
        <v>74</v>
      </c>
      <c r="AE937" t="s">
        <v>74</v>
      </c>
      <c r="AF937" t="s">
        <v>74</v>
      </c>
      <c r="AG937">
        <v>39</v>
      </c>
      <c r="AH937">
        <v>43</v>
      </c>
      <c r="AI937">
        <v>49</v>
      </c>
      <c r="AJ937">
        <v>0</v>
      </c>
      <c r="AK937">
        <v>9</v>
      </c>
      <c r="AL937" t="s">
        <v>12837</v>
      </c>
      <c r="AM937" t="s">
        <v>2113</v>
      </c>
      <c r="AN937" t="s">
        <v>12838</v>
      </c>
      <c r="AO937" t="s">
        <v>12839</v>
      </c>
      <c r="AP937" t="s">
        <v>74</v>
      </c>
      <c r="AQ937" t="s">
        <v>74</v>
      </c>
      <c r="AR937" t="s">
        <v>12840</v>
      </c>
      <c r="AS937" t="s">
        <v>12841</v>
      </c>
      <c r="AT937" t="s">
        <v>12719</v>
      </c>
      <c r="AU937">
        <v>2002</v>
      </c>
      <c r="AV937">
        <v>9</v>
      </c>
      <c r="AW937">
        <v>3</v>
      </c>
      <c r="AX937" t="s">
        <v>74</v>
      </c>
      <c r="AY937" t="s">
        <v>74</v>
      </c>
      <c r="AZ937" t="s">
        <v>74</v>
      </c>
      <c r="BA937" t="s">
        <v>74</v>
      </c>
      <c r="BB937">
        <v>249</v>
      </c>
      <c r="BC937">
        <v>265</v>
      </c>
      <c r="BD937" t="s">
        <v>74</v>
      </c>
      <c r="BE937" t="s">
        <v>12842</v>
      </c>
      <c r="BF937" t="str">
        <f>HYPERLINK("http://dx.doi.org/10.1191/1474474002eu247oa","http://dx.doi.org/10.1191/1474474002eu247oa")</f>
        <v>http://dx.doi.org/10.1191/1474474002eu247oa</v>
      </c>
      <c r="BG937" t="s">
        <v>74</v>
      </c>
      <c r="BH937" t="s">
        <v>74</v>
      </c>
      <c r="BI937">
        <v>17</v>
      </c>
      <c r="BJ937" t="s">
        <v>12843</v>
      </c>
      <c r="BK937" t="s">
        <v>4745</v>
      </c>
      <c r="BL937" t="s">
        <v>12844</v>
      </c>
      <c r="BM937" t="s">
        <v>12845</v>
      </c>
      <c r="BN937" t="s">
        <v>74</v>
      </c>
      <c r="BO937" t="s">
        <v>74</v>
      </c>
      <c r="BP937" t="s">
        <v>74</v>
      </c>
      <c r="BQ937" t="s">
        <v>74</v>
      </c>
      <c r="BR937" t="s">
        <v>98</v>
      </c>
      <c r="BS937" t="s">
        <v>12846</v>
      </c>
      <c r="BT937" t="str">
        <f>HYPERLINK("https%3A%2F%2Fwww.webofscience.com%2Fwos%2Fwoscc%2Ffull-record%2FWOS:000178720200001","View Full Record in Web of Science")</f>
        <v>View Full Record in Web of Science</v>
      </c>
    </row>
    <row r="938" spans="1:72" x14ac:dyDescent="0.15">
      <c r="A938" t="s">
        <v>552</v>
      </c>
      <c r="B938" t="s">
        <v>12847</v>
      </c>
      <c r="C938" t="s">
        <v>74</v>
      </c>
      <c r="D938" t="s">
        <v>74</v>
      </c>
      <c r="E938" t="s">
        <v>74</v>
      </c>
      <c r="F938" t="s">
        <v>12847</v>
      </c>
      <c r="G938" t="s">
        <v>74</v>
      </c>
      <c r="H938" t="s">
        <v>74</v>
      </c>
      <c r="I938" t="s">
        <v>12848</v>
      </c>
      <c r="J938" t="s">
        <v>1381</v>
      </c>
      <c r="K938" t="s">
        <v>74</v>
      </c>
      <c r="L938" t="s">
        <v>74</v>
      </c>
      <c r="M938" t="s">
        <v>78</v>
      </c>
      <c r="N938" t="s">
        <v>775</v>
      </c>
      <c r="O938" t="s">
        <v>74</v>
      </c>
      <c r="P938" t="s">
        <v>74</v>
      </c>
      <c r="Q938" t="s">
        <v>74</v>
      </c>
      <c r="R938" t="s">
        <v>74</v>
      </c>
      <c r="S938" t="s">
        <v>74</v>
      </c>
      <c r="T938" t="s">
        <v>12849</v>
      </c>
      <c r="U938" t="s">
        <v>12850</v>
      </c>
      <c r="V938" t="s">
        <v>12851</v>
      </c>
      <c r="W938" t="s">
        <v>12852</v>
      </c>
      <c r="X938" t="s">
        <v>12853</v>
      </c>
      <c r="Y938" t="s">
        <v>12854</v>
      </c>
      <c r="Z938" t="s">
        <v>74</v>
      </c>
      <c r="AA938" t="s">
        <v>12855</v>
      </c>
      <c r="AB938" t="s">
        <v>12856</v>
      </c>
      <c r="AC938" t="s">
        <v>74</v>
      </c>
      <c r="AD938" t="s">
        <v>74</v>
      </c>
      <c r="AE938" t="s">
        <v>74</v>
      </c>
      <c r="AF938" t="s">
        <v>74</v>
      </c>
      <c r="AG938">
        <v>22</v>
      </c>
      <c r="AH938">
        <v>25</v>
      </c>
      <c r="AI938">
        <v>27</v>
      </c>
      <c r="AJ938">
        <v>0</v>
      </c>
      <c r="AK938">
        <v>5</v>
      </c>
      <c r="AL938" t="s">
        <v>806</v>
      </c>
      <c r="AM938" t="s">
        <v>807</v>
      </c>
      <c r="AN938" t="s">
        <v>808</v>
      </c>
      <c r="AO938" t="s">
        <v>1389</v>
      </c>
      <c r="AP938" t="s">
        <v>74</v>
      </c>
      <c r="AQ938" t="s">
        <v>74</v>
      </c>
      <c r="AR938" t="s">
        <v>1391</v>
      </c>
      <c r="AS938" t="s">
        <v>1392</v>
      </c>
      <c r="AT938" t="s">
        <v>12719</v>
      </c>
      <c r="AU938">
        <v>2002</v>
      </c>
      <c r="AV938">
        <v>49</v>
      </c>
      <c r="AW938">
        <v>7</v>
      </c>
      <c r="AX938" t="s">
        <v>74</v>
      </c>
      <c r="AY938" t="s">
        <v>74</v>
      </c>
      <c r="AZ938" t="s">
        <v>74</v>
      </c>
      <c r="BA938" t="s">
        <v>74</v>
      </c>
      <c r="BB938">
        <v>1119</v>
      </c>
      <c r="BC938">
        <v>1139</v>
      </c>
      <c r="BD938" t="s">
        <v>12857</v>
      </c>
      <c r="BE938" t="s">
        <v>12858</v>
      </c>
      <c r="BF938" t="str">
        <f>HYPERLINK("http://dx.doi.org/10.1016/S0967-0637(02)00016-X","http://dx.doi.org/10.1016/S0967-0637(02)00016-X")</f>
        <v>http://dx.doi.org/10.1016/S0967-0637(02)00016-X</v>
      </c>
      <c r="BG938" t="s">
        <v>74</v>
      </c>
      <c r="BH938" t="s">
        <v>74</v>
      </c>
      <c r="BI938">
        <v>21</v>
      </c>
      <c r="BJ938" t="s">
        <v>1394</v>
      </c>
      <c r="BK938" t="s">
        <v>569</v>
      </c>
      <c r="BL938" t="s">
        <v>1394</v>
      </c>
      <c r="BM938" t="s">
        <v>12859</v>
      </c>
      <c r="BN938" t="s">
        <v>74</v>
      </c>
      <c r="BO938" t="s">
        <v>74</v>
      </c>
      <c r="BP938" t="s">
        <v>74</v>
      </c>
      <c r="BQ938" t="s">
        <v>74</v>
      </c>
      <c r="BR938" t="s">
        <v>98</v>
      </c>
      <c r="BS938" t="s">
        <v>12860</v>
      </c>
      <c r="BT938" t="str">
        <f>HYPERLINK("https%3A%2F%2Fwww.webofscience.com%2Fwos%2Fwoscc%2Ffull-record%2FWOS:000177777900001","View Full Record in Web of Science")</f>
        <v>View Full Record in Web of Science</v>
      </c>
    </row>
    <row r="939" spans="1:72" x14ac:dyDescent="0.15">
      <c r="A939" t="s">
        <v>552</v>
      </c>
      <c r="B939" t="s">
        <v>10475</v>
      </c>
      <c r="C939" t="s">
        <v>74</v>
      </c>
      <c r="D939" t="s">
        <v>74</v>
      </c>
      <c r="E939" t="s">
        <v>74</v>
      </c>
      <c r="F939" t="s">
        <v>10475</v>
      </c>
      <c r="G939" t="s">
        <v>74</v>
      </c>
      <c r="H939" t="s">
        <v>74</v>
      </c>
      <c r="I939" t="s">
        <v>12861</v>
      </c>
      <c r="J939" t="s">
        <v>1381</v>
      </c>
      <c r="K939" t="s">
        <v>74</v>
      </c>
      <c r="L939" t="s">
        <v>74</v>
      </c>
      <c r="M939" t="s">
        <v>78</v>
      </c>
      <c r="N939" t="s">
        <v>775</v>
      </c>
      <c r="O939" t="s">
        <v>74</v>
      </c>
      <c r="P939" t="s">
        <v>74</v>
      </c>
      <c r="Q939" t="s">
        <v>74</v>
      </c>
      <c r="R939" t="s">
        <v>74</v>
      </c>
      <c r="S939" t="s">
        <v>74</v>
      </c>
      <c r="T939" t="s">
        <v>12862</v>
      </c>
      <c r="U939" t="s">
        <v>12863</v>
      </c>
      <c r="V939" t="s">
        <v>12864</v>
      </c>
      <c r="W939" t="s">
        <v>12865</v>
      </c>
      <c r="X939" t="s">
        <v>12866</v>
      </c>
      <c r="Y939" t="s">
        <v>12867</v>
      </c>
      <c r="Z939" t="s">
        <v>12868</v>
      </c>
      <c r="AA939" t="s">
        <v>74</v>
      </c>
      <c r="AB939" t="s">
        <v>74</v>
      </c>
      <c r="AC939" t="s">
        <v>74</v>
      </c>
      <c r="AD939" t="s">
        <v>74</v>
      </c>
      <c r="AE939" t="s">
        <v>74</v>
      </c>
      <c r="AF939" t="s">
        <v>74</v>
      </c>
      <c r="AG939">
        <v>23</v>
      </c>
      <c r="AH939">
        <v>10</v>
      </c>
      <c r="AI939">
        <v>14</v>
      </c>
      <c r="AJ939">
        <v>1</v>
      </c>
      <c r="AK939">
        <v>5</v>
      </c>
      <c r="AL939" t="s">
        <v>806</v>
      </c>
      <c r="AM939" t="s">
        <v>807</v>
      </c>
      <c r="AN939" t="s">
        <v>808</v>
      </c>
      <c r="AO939" t="s">
        <v>1389</v>
      </c>
      <c r="AP939" t="s">
        <v>1390</v>
      </c>
      <c r="AQ939" t="s">
        <v>74</v>
      </c>
      <c r="AR939" t="s">
        <v>1391</v>
      </c>
      <c r="AS939" t="s">
        <v>1392</v>
      </c>
      <c r="AT939" t="s">
        <v>12719</v>
      </c>
      <c r="AU939">
        <v>2002</v>
      </c>
      <c r="AV939">
        <v>49</v>
      </c>
      <c r="AW939">
        <v>7</v>
      </c>
      <c r="AX939" t="s">
        <v>74</v>
      </c>
      <c r="AY939" t="s">
        <v>74</v>
      </c>
      <c r="AZ939" t="s">
        <v>74</v>
      </c>
      <c r="BA939" t="s">
        <v>74</v>
      </c>
      <c r="BB939">
        <v>1141</v>
      </c>
      <c r="BC939">
        <v>1164</v>
      </c>
      <c r="BD939" t="s">
        <v>12869</v>
      </c>
      <c r="BE939" t="s">
        <v>12870</v>
      </c>
      <c r="BF939" t="str">
        <f>HYPERLINK("http://dx.doi.org/10.1016/S0967-0637(02)00027-4","http://dx.doi.org/10.1016/S0967-0637(02)00027-4")</f>
        <v>http://dx.doi.org/10.1016/S0967-0637(02)00027-4</v>
      </c>
      <c r="BG939" t="s">
        <v>74</v>
      </c>
      <c r="BH939" t="s">
        <v>74</v>
      </c>
      <c r="BI939">
        <v>24</v>
      </c>
      <c r="BJ939" t="s">
        <v>1394</v>
      </c>
      <c r="BK939" t="s">
        <v>569</v>
      </c>
      <c r="BL939" t="s">
        <v>1394</v>
      </c>
      <c r="BM939" t="s">
        <v>12859</v>
      </c>
      <c r="BN939" t="s">
        <v>74</v>
      </c>
      <c r="BO939" t="s">
        <v>74</v>
      </c>
      <c r="BP939" t="s">
        <v>74</v>
      </c>
      <c r="BQ939" t="s">
        <v>74</v>
      </c>
      <c r="BR939" t="s">
        <v>98</v>
      </c>
      <c r="BS939" t="s">
        <v>12871</v>
      </c>
      <c r="BT939" t="str">
        <f>HYPERLINK("https%3A%2F%2Fwww.webofscience.com%2Fwos%2Fwoscc%2Ffull-record%2FWOS:000177777900002","View Full Record in Web of Science")</f>
        <v>View Full Record in Web of Science</v>
      </c>
    </row>
    <row r="940" spans="1:72" x14ac:dyDescent="0.15">
      <c r="A940" t="s">
        <v>552</v>
      </c>
      <c r="B940" t="s">
        <v>12872</v>
      </c>
      <c r="C940" t="s">
        <v>74</v>
      </c>
      <c r="D940" t="s">
        <v>74</v>
      </c>
      <c r="E940" t="s">
        <v>74</v>
      </c>
      <c r="F940" t="s">
        <v>12872</v>
      </c>
      <c r="G940" t="s">
        <v>74</v>
      </c>
      <c r="H940" t="s">
        <v>74</v>
      </c>
      <c r="I940" t="s">
        <v>12873</v>
      </c>
      <c r="J940" t="s">
        <v>1381</v>
      </c>
      <c r="K940" t="s">
        <v>74</v>
      </c>
      <c r="L940" t="s">
        <v>74</v>
      </c>
      <c r="M940" t="s">
        <v>78</v>
      </c>
      <c r="N940" t="s">
        <v>775</v>
      </c>
      <c r="O940" t="s">
        <v>74</v>
      </c>
      <c r="P940" t="s">
        <v>74</v>
      </c>
      <c r="Q940" t="s">
        <v>74</v>
      </c>
      <c r="R940" t="s">
        <v>74</v>
      </c>
      <c r="S940" t="s">
        <v>74</v>
      </c>
      <c r="T940" t="s">
        <v>12874</v>
      </c>
      <c r="U940" t="s">
        <v>12875</v>
      </c>
      <c r="V940" t="s">
        <v>12876</v>
      </c>
      <c r="W940" t="s">
        <v>12877</v>
      </c>
      <c r="X940" t="s">
        <v>4058</v>
      </c>
      <c r="Y940" t="s">
        <v>12878</v>
      </c>
      <c r="Z940" t="s">
        <v>12879</v>
      </c>
      <c r="AA940" t="s">
        <v>74</v>
      </c>
      <c r="AB940" t="s">
        <v>12880</v>
      </c>
      <c r="AC940" t="s">
        <v>74</v>
      </c>
      <c r="AD940" t="s">
        <v>74</v>
      </c>
      <c r="AE940" t="s">
        <v>74</v>
      </c>
      <c r="AF940" t="s">
        <v>74</v>
      </c>
      <c r="AG940">
        <v>66</v>
      </c>
      <c r="AH940">
        <v>62</v>
      </c>
      <c r="AI940">
        <v>66</v>
      </c>
      <c r="AJ940">
        <v>0</v>
      </c>
      <c r="AK940">
        <v>10</v>
      </c>
      <c r="AL940" t="s">
        <v>806</v>
      </c>
      <c r="AM940" t="s">
        <v>807</v>
      </c>
      <c r="AN940" t="s">
        <v>808</v>
      </c>
      <c r="AO940" t="s">
        <v>1389</v>
      </c>
      <c r="AP940" t="s">
        <v>74</v>
      </c>
      <c r="AQ940" t="s">
        <v>74</v>
      </c>
      <c r="AR940" t="s">
        <v>1391</v>
      </c>
      <c r="AS940" t="s">
        <v>1392</v>
      </c>
      <c r="AT940" t="s">
        <v>12719</v>
      </c>
      <c r="AU940">
        <v>2002</v>
      </c>
      <c r="AV940">
        <v>49</v>
      </c>
      <c r="AW940">
        <v>7</v>
      </c>
      <c r="AX940" t="s">
        <v>74</v>
      </c>
      <c r="AY940" t="s">
        <v>74</v>
      </c>
      <c r="AZ940" t="s">
        <v>74</v>
      </c>
      <c r="BA940" t="s">
        <v>74</v>
      </c>
      <c r="BB940">
        <v>1195</v>
      </c>
      <c r="BC940">
        <v>1216</v>
      </c>
      <c r="BD940" t="s">
        <v>12881</v>
      </c>
      <c r="BE940" t="s">
        <v>12882</v>
      </c>
      <c r="BF940" t="str">
        <f>HYPERLINK("http://dx.doi.org/10.1016/S0967-0637(02)00015-8","http://dx.doi.org/10.1016/S0967-0637(02)00015-8")</f>
        <v>http://dx.doi.org/10.1016/S0967-0637(02)00015-8</v>
      </c>
      <c r="BG940" t="s">
        <v>74</v>
      </c>
      <c r="BH940" t="s">
        <v>74</v>
      </c>
      <c r="BI940">
        <v>22</v>
      </c>
      <c r="BJ940" t="s">
        <v>1394</v>
      </c>
      <c r="BK940" t="s">
        <v>569</v>
      </c>
      <c r="BL940" t="s">
        <v>1394</v>
      </c>
      <c r="BM940" t="s">
        <v>12859</v>
      </c>
      <c r="BN940" t="s">
        <v>74</v>
      </c>
      <c r="BO940" t="s">
        <v>74</v>
      </c>
      <c r="BP940" t="s">
        <v>74</v>
      </c>
      <c r="BQ940" t="s">
        <v>74</v>
      </c>
      <c r="BR940" t="s">
        <v>98</v>
      </c>
      <c r="BS940" t="s">
        <v>12883</v>
      </c>
      <c r="BT940" t="str">
        <f>HYPERLINK("https%3A%2F%2Fwww.webofscience.com%2Fwos%2Fwoscc%2Ffull-record%2FWOS:000177777900005","View Full Record in Web of Science")</f>
        <v>View Full Record in Web of Science</v>
      </c>
    </row>
    <row r="941" spans="1:72" x14ac:dyDescent="0.15">
      <c r="A941" t="s">
        <v>552</v>
      </c>
      <c r="B941" t="s">
        <v>12884</v>
      </c>
      <c r="C941" t="s">
        <v>74</v>
      </c>
      <c r="D941" t="s">
        <v>74</v>
      </c>
      <c r="E941" t="s">
        <v>74</v>
      </c>
      <c r="F941" t="s">
        <v>12884</v>
      </c>
      <c r="G941" t="s">
        <v>74</v>
      </c>
      <c r="H941" t="s">
        <v>74</v>
      </c>
      <c r="I941" t="s">
        <v>12885</v>
      </c>
      <c r="J941" t="s">
        <v>12886</v>
      </c>
      <c r="K941" t="s">
        <v>74</v>
      </c>
      <c r="L941" t="s">
        <v>74</v>
      </c>
      <c r="M941" t="s">
        <v>78</v>
      </c>
      <c r="N941" t="s">
        <v>775</v>
      </c>
      <c r="O941" t="s">
        <v>74</v>
      </c>
      <c r="P941" t="s">
        <v>74</v>
      </c>
      <c r="Q941" t="s">
        <v>74</v>
      </c>
      <c r="R941" t="s">
        <v>74</v>
      </c>
      <c r="S941" t="s">
        <v>74</v>
      </c>
      <c r="T941" t="s">
        <v>74</v>
      </c>
      <c r="U941" t="s">
        <v>74</v>
      </c>
      <c r="V941" t="s">
        <v>74</v>
      </c>
      <c r="W941" t="s">
        <v>12887</v>
      </c>
      <c r="X941" t="s">
        <v>12888</v>
      </c>
      <c r="Y941" t="s">
        <v>12889</v>
      </c>
      <c r="Z941" t="s">
        <v>74</v>
      </c>
      <c r="AA941" t="s">
        <v>74</v>
      </c>
      <c r="AB941" t="s">
        <v>74</v>
      </c>
      <c r="AC941" t="s">
        <v>74</v>
      </c>
      <c r="AD941" t="s">
        <v>74</v>
      </c>
      <c r="AE941" t="s">
        <v>74</v>
      </c>
      <c r="AF941" t="s">
        <v>74</v>
      </c>
      <c r="AG941">
        <v>6</v>
      </c>
      <c r="AH941">
        <v>5</v>
      </c>
      <c r="AI941">
        <v>5</v>
      </c>
      <c r="AJ941">
        <v>0</v>
      </c>
      <c r="AK941">
        <v>0</v>
      </c>
      <c r="AL941" t="s">
        <v>12890</v>
      </c>
      <c r="AM941" t="s">
        <v>2113</v>
      </c>
      <c r="AN941" t="s">
        <v>12891</v>
      </c>
      <c r="AO941" t="s">
        <v>12892</v>
      </c>
      <c r="AP941" t="s">
        <v>74</v>
      </c>
      <c r="AQ941" t="s">
        <v>74</v>
      </c>
      <c r="AR941" t="s">
        <v>12893</v>
      </c>
      <c r="AS941" t="s">
        <v>12894</v>
      </c>
      <c r="AT941" t="s">
        <v>12719</v>
      </c>
      <c r="AU941">
        <v>2002</v>
      </c>
      <c r="AV941">
        <v>19</v>
      </c>
      <c r="AW941">
        <v>4</v>
      </c>
      <c r="AX941" t="s">
        <v>74</v>
      </c>
      <c r="AY941" t="s">
        <v>74</v>
      </c>
      <c r="AZ941" t="s">
        <v>74</v>
      </c>
      <c r="BA941" t="s">
        <v>74</v>
      </c>
      <c r="BB941">
        <v>314</v>
      </c>
      <c r="BC941">
        <v>317</v>
      </c>
      <c r="BD941" t="s">
        <v>74</v>
      </c>
      <c r="BE941" t="s">
        <v>12895</v>
      </c>
      <c r="BF941" t="str">
        <f>HYPERLINK("http://dx.doi.org/10.1136/emj.19.4.314","http://dx.doi.org/10.1136/emj.19.4.314")</f>
        <v>http://dx.doi.org/10.1136/emj.19.4.314</v>
      </c>
      <c r="BG941" t="s">
        <v>74</v>
      </c>
      <c r="BH941" t="s">
        <v>74</v>
      </c>
      <c r="BI941">
        <v>4</v>
      </c>
      <c r="BJ941" t="s">
        <v>12896</v>
      </c>
      <c r="BK941" t="s">
        <v>569</v>
      </c>
      <c r="BL941" t="s">
        <v>12896</v>
      </c>
      <c r="BM941" t="s">
        <v>12897</v>
      </c>
      <c r="BN941">
        <v>12101139</v>
      </c>
      <c r="BO941" t="s">
        <v>3298</v>
      </c>
      <c r="BP941" t="s">
        <v>74</v>
      </c>
      <c r="BQ941" t="s">
        <v>74</v>
      </c>
      <c r="BR941" t="s">
        <v>98</v>
      </c>
      <c r="BS941" t="s">
        <v>12898</v>
      </c>
      <c r="BT941" t="str">
        <f>HYPERLINK("https%3A%2F%2Fwww.webofscience.com%2Fwos%2Fwoscc%2Ffull-record%2FWOS:000177001500009","View Full Record in Web of Science")</f>
        <v>View Full Record in Web of Science</v>
      </c>
    </row>
    <row r="942" spans="1:72" x14ac:dyDescent="0.15">
      <c r="A942" t="s">
        <v>552</v>
      </c>
      <c r="B942" t="s">
        <v>12899</v>
      </c>
      <c r="C942" t="s">
        <v>74</v>
      </c>
      <c r="D942" t="s">
        <v>74</v>
      </c>
      <c r="E942" t="s">
        <v>74</v>
      </c>
      <c r="F942" t="s">
        <v>12899</v>
      </c>
      <c r="G942" t="s">
        <v>74</v>
      </c>
      <c r="H942" t="s">
        <v>74</v>
      </c>
      <c r="I942" t="s">
        <v>12900</v>
      </c>
      <c r="J942" t="s">
        <v>12901</v>
      </c>
      <c r="K942" t="s">
        <v>74</v>
      </c>
      <c r="L942" t="s">
        <v>74</v>
      </c>
      <c r="M942" t="s">
        <v>78</v>
      </c>
      <c r="N942" t="s">
        <v>775</v>
      </c>
      <c r="O942" t="s">
        <v>74</v>
      </c>
      <c r="P942" t="s">
        <v>74</v>
      </c>
      <c r="Q942" t="s">
        <v>74</v>
      </c>
      <c r="R942" t="s">
        <v>74</v>
      </c>
      <c r="S942" t="s">
        <v>74</v>
      </c>
      <c r="T942" t="s">
        <v>12902</v>
      </c>
      <c r="U942" t="s">
        <v>12903</v>
      </c>
      <c r="V942" t="s">
        <v>12904</v>
      </c>
      <c r="W942" t="s">
        <v>238</v>
      </c>
      <c r="X942" t="s">
        <v>239</v>
      </c>
      <c r="Y942" t="s">
        <v>12905</v>
      </c>
      <c r="Z942" t="s">
        <v>12906</v>
      </c>
      <c r="AA942" t="s">
        <v>490</v>
      </c>
      <c r="AB942" t="s">
        <v>491</v>
      </c>
      <c r="AC942" t="s">
        <v>74</v>
      </c>
      <c r="AD942" t="s">
        <v>74</v>
      </c>
      <c r="AE942" t="s">
        <v>74</v>
      </c>
      <c r="AF942" t="s">
        <v>74</v>
      </c>
      <c r="AG942">
        <v>23</v>
      </c>
      <c r="AH942">
        <v>46</v>
      </c>
      <c r="AI942">
        <v>50</v>
      </c>
      <c r="AJ942">
        <v>2</v>
      </c>
      <c r="AK942">
        <v>23</v>
      </c>
      <c r="AL942" t="s">
        <v>7367</v>
      </c>
      <c r="AM942" t="s">
        <v>11618</v>
      </c>
      <c r="AN942" t="s">
        <v>11619</v>
      </c>
      <c r="AO942" t="s">
        <v>12907</v>
      </c>
      <c r="AP942" t="s">
        <v>12908</v>
      </c>
      <c r="AQ942" t="s">
        <v>74</v>
      </c>
      <c r="AR942" t="s">
        <v>12909</v>
      </c>
      <c r="AS942" t="s">
        <v>12910</v>
      </c>
      <c r="AT942" t="s">
        <v>12911</v>
      </c>
      <c r="AU942">
        <v>2002</v>
      </c>
      <c r="AV942">
        <v>38</v>
      </c>
      <c r="AW942" t="s">
        <v>1424</v>
      </c>
      <c r="AX942" t="s">
        <v>74</v>
      </c>
      <c r="AY942" t="s">
        <v>74</v>
      </c>
      <c r="AZ942" t="s">
        <v>74</v>
      </c>
      <c r="BA942" t="s">
        <v>74</v>
      </c>
      <c r="BB942">
        <v>255</v>
      </c>
      <c r="BC942">
        <v>259</v>
      </c>
      <c r="BD942" t="s">
        <v>12912</v>
      </c>
      <c r="BE942" t="s">
        <v>12913</v>
      </c>
      <c r="BF942" t="str">
        <f>HYPERLINK("http://dx.doi.org/10.1016/S1164-5563(02)01155-X","http://dx.doi.org/10.1016/S1164-5563(02)01155-X")</f>
        <v>http://dx.doi.org/10.1016/S1164-5563(02)01155-X</v>
      </c>
      <c r="BG942" t="s">
        <v>74</v>
      </c>
      <c r="BH942" t="s">
        <v>74</v>
      </c>
      <c r="BI942">
        <v>5</v>
      </c>
      <c r="BJ942" t="s">
        <v>4198</v>
      </c>
      <c r="BK942" t="s">
        <v>569</v>
      </c>
      <c r="BL942" t="s">
        <v>4199</v>
      </c>
      <c r="BM942" t="s">
        <v>12914</v>
      </c>
      <c r="BN942" t="s">
        <v>74</v>
      </c>
      <c r="BO942" t="s">
        <v>74</v>
      </c>
      <c r="BP942" t="s">
        <v>74</v>
      </c>
      <c r="BQ942" t="s">
        <v>74</v>
      </c>
      <c r="BR942" t="s">
        <v>98</v>
      </c>
      <c r="BS942" t="s">
        <v>12915</v>
      </c>
      <c r="BT942" t="str">
        <f>HYPERLINK("https%3A%2F%2Fwww.webofscience.com%2Fwos%2Fwoscc%2Ffull-record%2FWOS:000178245900006","View Full Record in Web of Science")</f>
        <v>View Full Record in Web of Science</v>
      </c>
    </row>
    <row r="943" spans="1:72" x14ac:dyDescent="0.15">
      <c r="A943" t="s">
        <v>552</v>
      </c>
      <c r="B943" t="s">
        <v>12916</v>
      </c>
      <c r="C943" t="s">
        <v>74</v>
      </c>
      <c r="D943" t="s">
        <v>74</v>
      </c>
      <c r="E943" t="s">
        <v>74</v>
      </c>
      <c r="F943" t="s">
        <v>12916</v>
      </c>
      <c r="G943" t="s">
        <v>74</v>
      </c>
      <c r="H943" t="s">
        <v>74</v>
      </c>
      <c r="I943" t="s">
        <v>12917</v>
      </c>
      <c r="J943" t="s">
        <v>2984</v>
      </c>
      <c r="K943" t="s">
        <v>74</v>
      </c>
      <c r="L943" t="s">
        <v>74</v>
      </c>
      <c r="M943" t="s">
        <v>78</v>
      </c>
      <c r="N943" t="s">
        <v>775</v>
      </c>
      <c r="O943" t="s">
        <v>74</v>
      </c>
      <c r="P943" t="s">
        <v>74</v>
      </c>
      <c r="Q943" t="s">
        <v>74</v>
      </c>
      <c r="R943" t="s">
        <v>74</v>
      </c>
      <c r="S943" t="s">
        <v>74</v>
      </c>
      <c r="T943" t="s">
        <v>12918</v>
      </c>
      <c r="U943" t="s">
        <v>12919</v>
      </c>
      <c r="V943" t="s">
        <v>12920</v>
      </c>
      <c r="W943" t="s">
        <v>12921</v>
      </c>
      <c r="X943" t="s">
        <v>12922</v>
      </c>
      <c r="Y943" t="s">
        <v>12923</v>
      </c>
      <c r="Z943" t="s">
        <v>12924</v>
      </c>
      <c r="AA943" t="s">
        <v>74</v>
      </c>
      <c r="AB943" t="s">
        <v>12925</v>
      </c>
      <c r="AC943" t="s">
        <v>74</v>
      </c>
      <c r="AD943" t="s">
        <v>74</v>
      </c>
      <c r="AE943" t="s">
        <v>74</v>
      </c>
      <c r="AF943" t="s">
        <v>74</v>
      </c>
      <c r="AG943">
        <v>48</v>
      </c>
      <c r="AH943">
        <v>187</v>
      </c>
      <c r="AI943">
        <v>231</v>
      </c>
      <c r="AJ943">
        <v>0</v>
      </c>
      <c r="AK943">
        <v>44</v>
      </c>
      <c r="AL943" t="s">
        <v>1147</v>
      </c>
      <c r="AM943" t="s">
        <v>1148</v>
      </c>
      <c r="AN943" t="s">
        <v>1149</v>
      </c>
      <c r="AO943" t="s">
        <v>8733</v>
      </c>
      <c r="AP943" t="s">
        <v>12926</v>
      </c>
      <c r="AQ943" t="s">
        <v>74</v>
      </c>
      <c r="AR943" t="s">
        <v>2984</v>
      </c>
      <c r="AS943" t="s">
        <v>8734</v>
      </c>
      <c r="AT943" t="s">
        <v>12719</v>
      </c>
      <c r="AU943">
        <v>2002</v>
      </c>
      <c r="AV943">
        <v>56</v>
      </c>
      <c r="AW943">
        <v>7</v>
      </c>
      <c r="AX943" t="s">
        <v>74</v>
      </c>
      <c r="AY943" t="s">
        <v>74</v>
      </c>
      <c r="AZ943" t="s">
        <v>74</v>
      </c>
      <c r="BA943" t="s">
        <v>74</v>
      </c>
      <c r="BB943">
        <v>1374</v>
      </c>
      <c r="BC943">
        <v>1387</v>
      </c>
      <c r="BD943" t="s">
        <v>74</v>
      </c>
      <c r="BE943" t="s">
        <v>74</v>
      </c>
      <c r="BF943" t="s">
        <v>74</v>
      </c>
      <c r="BG943" t="s">
        <v>74</v>
      </c>
      <c r="BH943" t="s">
        <v>74</v>
      </c>
      <c r="BI943">
        <v>14</v>
      </c>
      <c r="BJ943" t="s">
        <v>8735</v>
      </c>
      <c r="BK943" t="s">
        <v>569</v>
      </c>
      <c r="BL943" t="s">
        <v>8736</v>
      </c>
      <c r="BM943" t="s">
        <v>12927</v>
      </c>
      <c r="BN943">
        <v>12206239</v>
      </c>
      <c r="BO943" t="s">
        <v>572</v>
      </c>
      <c r="BP943" t="s">
        <v>74</v>
      </c>
      <c r="BQ943" t="s">
        <v>74</v>
      </c>
      <c r="BR943" t="s">
        <v>98</v>
      </c>
      <c r="BS943" t="s">
        <v>12928</v>
      </c>
      <c r="BT943" t="str">
        <f>HYPERLINK("https%3A%2F%2Fwww.webofscience.com%2Fwos%2Fwoscc%2Ffull-record%2FWOS:000177434400007","View Full Record in Web of Science")</f>
        <v>View Full Record in Web of Science</v>
      </c>
    </row>
    <row r="944" spans="1:72" x14ac:dyDescent="0.15">
      <c r="A944" t="s">
        <v>552</v>
      </c>
      <c r="B944" t="s">
        <v>12929</v>
      </c>
      <c r="C944" t="s">
        <v>74</v>
      </c>
      <c r="D944" t="s">
        <v>74</v>
      </c>
      <c r="E944" t="s">
        <v>74</v>
      </c>
      <c r="F944" t="s">
        <v>12929</v>
      </c>
      <c r="G944" t="s">
        <v>74</v>
      </c>
      <c r="H944" t="s">
        <v>74</v>
      </c>
      <c r="I944" t="s">
        <v>12930</v>
      </c>
      <c r="J944" t="s">
        <v>7499</v>
      </c>
      <c r="K944" t="s">
        <v>74</v>
      </c>
      <c r="L944" t="s">
        <v>74</v>
      </c>
      <c r="M944" t="s">
        <v>78</v>
      </c>
      <c r="N944" t="s">
        <v>775</v>
      </c>
      <c r="O944" t="s">
        <v>74</v>
      </c>
      <c r="P944" t="s">
        <v>74</v>
      </c>
      <c r="Q944" t="s">
        <v>74</v>
      </c>
      <c r="R944" t="s">
        <v>74</v>
      </c>
      <c r="S944" t="s">
        <v>74</v>
      </c>
      <c r="T944" t="s">
        <v>12931</v>
      </c>
      <c r="U944" t="s">
        <v>12932</v>
      </c>
      <c r="V944" t="s">
        <v>12933</v>
      </c>
      <c r="W944" t="s">
        <v>12934</v>
      </c>
      <c r="X944" t="s">
        <v>9149</v>
      </c>
      <c r="Y944" t="s">
        <v>12935</v>
      </c>
      <c r="Z944" t="s">
        <v>12936</v>
      </c>
      <c r="AA944" t="s">
        <v>74</v>
      </c>
      <c r="AB944" t="s">
        <v>12937</v>
      </c>
      <c r="AC944" t="s">
        <v>74</v>
      </c>
      <c r="AD944" t="s">
        <v>74</v>
      </c>
      <c r="AE944" t="s">
        <v>74</v>
      </c>
      <c r="AF944" t="s">
        <v>74</v>
      </c>
      <c r="AG944">
        <v>50</v>
      </c>
      <c r="AH944">
        <v>31</v>
      </c>
      <c r="AI944">
        <v>39</v>
      </c>
      <c r="AJ944">
        <v>0</v>
      </c>
      <c r="AK944">
        <v>17</v>
      </c>
      <c r="AL944" t="s">
        <v>1230</v>
      </c>
      <c r="AM944" t="s">
        <v>561</v>
      </c>
      <c r="AN944" t="s">
        <v>1231</v>
      </c>
      <c r="AO944" t="s">
        <v>7504</v>
      </c>
      <c r="AP944" t="s">
        <v>12938</v>
      </c>
      <c r="AQ944" t="s">
        <v>74</v>
      </c>
      <c r="AR944" t="s">
        <v>7505</v>
      </c>
      <c r="AS944" t="s">
        <v>7506</v>
      </c>
      <c r="AT944" t="s">
        <v>12719</v>
      </c>
      <c r="AU944">
        <v>2002</v>
      </c>
      <c r="AV944">
        <v>22</v>
      </c>
      <c r="AW944">
        <v>2</v>
      </c>
      <c r="AX944" t="s">
        <v>74</v>
      </c>
      <c r="AY944" t="s">
        <v>74</v>
      </c>
      <c r="AZ944" t="s">
        <v>74</v>
      </c>
      <c r="BA944" t="s">
        <v>74</v>
      </c>
      <c r="BB944">
        <v>51</v>
      </c>
      <c r="BC944">
        <v>59</v>
      </c>
      <c r="BD944" t="s">
        <v>74</v>
      </c>
      <c r="BE944" t="s">
        <v>12939</v>
      </c>
      <c r="BF944" t="str">
        <f>HYPERLINK("http://dx.doi.org/10.1007/S00367-002-0097-7","http://dx.doi.org/10.1007/S00367-002-0097-7")</f>
        <v>http://dx.doi.org/10.1007/S00367-002-0097-7</v>
      </c>
      <c r="BG944" t="s">
        <v>74</v>
      </c>
      <c r="BH944" t="s">
        <v>74</v>
      </c>
      <c r="BI944">
        <v>9</v>
      </c>
      <c r="BJ944" t="s">
        <v>5146</v>
      </c>
      <c r="BK944" t="s">
        <v>569</v>
      </c>
      <c r="BL944" t="s">
        <v>5147</v>
      </c>
      <c r="BM944" t="s">
        <v>12940</v>
      </c>
      <c r="BN944" t="s">
        <v>74</v>
      </c>
      <c r="BO944" t="s">
        <v>74</v>
      </c>
      <c r="BP944" t="s">
        <v>74</v>
      </c>
      <c r="BQ944" t="s">
        <v>74</v>
      </c>
      <c r="BR944" t="s">
        <v>98</v>
      </c>
      <c r="BS944" t="s">
        <v>12941</v>
      </c>
      <c r="BT944" t="str">
        <f>HYPERLINK("https%3A%2F%2Fwww.webofscience.com%2Fwos%2Fwoscc%2Ffull-record%2FWOS:000177479900001","View Full Record in Web of Science")</f>
        <v>View Full Record in Web of Science</v>
      </c>
    </row>
    <row r="945" spans="1:72" x14ac:dyDescent="0.15">
      <c r="A945" t="s">
        <v>552</v>
      </c>
      <c r="B945" t="s">
        <v>12942</v>
      </c>
      <c r="C945" t="s">
        <v>74</v>
      </c>
      <c r="D945" t="s">
        <v>74</v>
      </c>
      <c r="E945" t="s">
        <v>74</v>
      </c>
      <c r="F945" t="s">
        <v>12942</v>
      </c>
      <c r="G945" t="s">
        <v>74</v>
      </c>
      <c r="H945" t="s">
        <v>74</v>
      </c>
      <c r="I945" t="s">
        <v>12943</v>
      </c>
      <c r="J945" t="s">
        <v>10168</v>
      </c>
      <c r="K945" t="s">
        <v>74</v>
      </c>
      <c r="L945" t="s">
        <v>74</v>
      </c>
      <c r="M945" t="s">
        <v>78</v>
      </c>
      <c r="N945" t="s">
        <v>775</v>
      </c>
      <c r="O945" t="s">
        <v>74</v>
      </c>
      <c r="P945" t="s">
        <v>74</v>
      </c>
      <c r="Q945" t="s">
        <v>74</v>
      </c>
      <c r="R945" t="s">
        <v>74</v>
      </c>
      <c r="S945" t="s">
        <v>74</v>
      </c>
      <c r="T945" t="s">
        <v>12944</v>
      </c>
      <c r="U945" t="s">
        <v>12945</v>
      </c>
      <c r="V945" t="s">
        <v>12946</v>
      </c>
      <c r="W945" t="s">
        <v>12947</v>
      </c>
      <c r="X945" t="s">
        <v>12948</v>
      </c>
      <c r="Y945" t="s">
        <v>12949</v>
      </c>
      <c r="Z945" t="s">
        <v>74</v>
      </c>
      <c r="AA945" t="s">
        <v>12950</v>
      </c>
      <c r="AB945" t="s">
        <v>10193</v>
      </c>
      <c r="AC945" t="s">
        <v>74</v>
      </c>
      <c r="AD945" t="s">
        <v>74</v>
      </c>
      <c r="AE945" t="s">
        <v>74</v>
      </c>
      <c r="AF945" t="s">
        <v>74</v>
      </c>
      <c r="AG945">
        <v>19</v>
      </c>
      <c r="AH945">
        <v>29</v>
      </c>
      <c r="AI945">
        <v>31</v>
      </c>
      <c r="AJ945">
        <v>1</v>
      </c>
      <c r="AK945">
        <v>4</v>
      </c>
      <c r="AL945" t="s">
        <v>560</v>
      </c>
      <c r="AM945" t="s">
        <v>561</v>
      </c>
      <c r="AN945" t="s">
        <v>3082</v>
      </c>
      <c r="AO945" t="s">
        <v>10177</v>
      </c>
      <c r="AP945" t="s">
        <v>74</v>
      </c>
      <c r="AQ945" t="s">
        <v>74</v>
      </c>
      <c r="AR945" t="s">
        <v>10179</v>
      </c>
      <c r="AS945" t="s">
        <v>10180</v>
      </c>
      <c r="AT945" t="s">
        <v>12719</v>
      </c>
      <c r="AU945">
        <v>2002</v>
      </c>
      <c r="AV945">
        <v>139</v>
      </c>
      <c r="AW945">
        <v>4</v>
      </c>
      <c r="AX945" t="s">
        <v>74</v>
      </c>
      <c r="AY945" t="s">
        <v>74</v>
      </c>
      <c r="AZ945" t="s">
        <v>74</v>
      </c>
      <c r="BA945" t="s">
        <v>74</v>
      </c>
      <c r="BB945">
        <v>465</v>
      </c>
      <c r="BC945">
        <v>471</v>
      </c>
      <c r="BD945" t="s">
        <v>74</v>
      </c>
      <c r="BE945" t="s">
        <v>12951</v>
      </c>
      <c r="BF945" t="str">
        <f>HYPERLINK("http://dx.doi.org/10.1017/S0016756802006672","http://dx.doi.org/10.1017/S0016756802006672")</f>
        <v>http://dx.doi.org/10.1017/S0016756802006672</v>
      </c>
      <c r="BG945" t="s">
        <v>74</v>
      </c>
      <c r="BH945" t="s">
        <v>74</v>
      </c>
      <c r="BI945">
        <v>7</v>
      </c>
      <c r="BJ945" t="s">
        <v>1813</v>
      </c>
      <c r="BK945" t="s">
        <v>569</v>
      </c>
      <c r="BL945" t="s">
        <v>1814</v>
      </c>
      <c r="BM945" t="s">
        <v>12952</v>
      </c>
      <c r="BN945" t="s">
        <v>74</v>
      </c>
      <c r="BO945" t="s">
        <v>74</v>
      </c>
      <c r="BP945" t="s">
        <v>74</v>
      </c>
      <c r="BQ945" t="s">
        <v>74</v>
      </c>
      <c r="BR945" t="s">
        <v>98</v>
      </c>
      <c r="BS945" t="s">
        <v>12953</v>
      </c>
      <c r="BT945" t="str">
        <f>HYPERLINK("https%3A%2F%2Fwww.webofscience.com%2Fwos%2Fwoscc%2Ffull-record%2FWOS:000179028700006","View Full Record in Web of Science")</f>
        <v>View Full Record in Web of Science</v>
      </c>
    </row>
    <row r="946" spans="1:72" x14ac:dyDescent="0.15">
      <c r="A946" t="s">
        <v>552</v>
      </c>
      <c r="B946" t="s">
        <v>12954</v>
      </c>
      <c r="C946" t="s">
        <v>74</v>
      </c>
      <c r="D946" t="s">
        <v>74</v>
      </c>
      <c r="E946" t="s">
        <v>74</v>
      </c>
      <c r="F946" t="s">
        <v>12954</v>
      </c>
      <c r="G946" t="s">
        <v>74</v>
      </c>
      <c r="H946" t="s">
        <v>74</v>
      </c>
      <c r="I946" t="s">
        <v>12955</v>
      </c>
      <c r="J946" t="s">
        <v>7512</v>
      </c>
      <c r="K946" t="s">
        <v>74</v>
      </c>
      <c r="L946" t="s">
        <v>74</v>
      </c>
      <c r="M946" t="s">
        <v>78</v>
      </c>
      <c r="N946" t="s">
        <v>775</v>
      </c>
      <c r="O946" t="s">
        <v>74</v>
      </c>
      <c r="P946" t="s">
        <v>74</v>
      </c>
      <c r="Q946" t="s">
        <v>74</v>
      </c>
      <c r="R946" t="s">
        <v>74</v>
      </c>
      <c r="S946" t="s">
        <v>74</v>
      </c>
      <c r="T946" t="s">
        <v>12956</v>
      </c>
      <c r="U946" t="s">
        <v>12957</v>
      </c>
      <c r="V946" t="s">
        <v>12958</v>
      </c>
      <c r="W946" t="s">
        <v>12959</v>
      </c>
      <c r="X946" t="s">
        <v>12960</v>
      </c>
      <c r="Y946" t="s">
        <v>12961</v>
      </c>
      <c r="Z946" t="s">
        <v>74</v>
      </c>
      <c r="AA946" t="s">
        <v>12962</v>
      </c>
      <c r="AB946" t="s">
        <v>12963</v>
      </c>
      <c r="AC946" t="s">
        <v>74</v>
      </c>
      <c r="AD946" t="s">
        <v>74</v>
      </c>
      <c r="AE946" t="s">
        <v>74</v>
      </c>
      <c r="AF946" t="s">
        <v>74</v>
      </c>
      <c r="AG946">
        <v>18</v>
      </c>
      <c r="AH946">
        <v>76</v>
      </c>
      <c r="AI946">
        <v>81</v>
      </c>
      <c r="AJ946">
        <v>0</v>
      </c>
      <c r="AK946">
        <v>13</v>
      </c>
      <c r="AL946" t="s">
        <v>10216</v>
      </c>
      <c r="AM946" t="s">
        <v>7142</v>
      </c>
      <c r="AN946" t="s">
        <v>7522</v>
      </c>
      <c r="AO946" t="s">
        <v>7523</v>
      </c>
      <c r="AP946" t="s">
        <v>74</v>
      </c>
      <c r="AQ946" t="s">
        <v>74</v>
      </c>
      <c r="AR946" t="s">
        <v>7512</v>
      </c>
      <c r="AS946" t="s">
        <v>1814</v>
      </c>
      <c r="AT946" t="s">
        <v>12719</v>
      </c>
      <c r="AU946">
        <v>2002</v>
      </c>
      <c r="AV946">
        <v>30</v>
      </c>
      <c r="AW946">
        <v>7</v>
      </c>
      <c r="AX946" t="s">
        <v>74</v>
      </c>
      <c r="AY946" t="s">
        <v>74</v>
      </c>
      <c r="AZ946" t="s">
        <v>74</v>
      </c>
      <c r="BA946" t="s">
        <v>74</v>
      </c>
      <c r="BB946">
        <v>603</v>
      </c>
      <c r="BC946">
        <v>606</v>
      </c>
      <c r="BD946" t="s">
        <v>74</v>
      </c>
      <c r="BE946" t="s">
        <v>12964</v>
      </c>
      <c r="BF946" t="str">
        <f>HYPERLINK("http://dx.doi.org/10.1130/0091-7613(2002)030&lt;0603:SEOASS&gt;2.0.CO;2","http://dx.doi.org/10.1130/0091-7613(2002)030&lt;0603:SEOASS&gt;2.0.CO;2")</f>
        <v>http://dx.doi.org/10.1130/0091-7613(2002)030&lt;0603:SEOASS&gt;2.0.CO;2</v>
      </c>
      <c r="BG946" t="s">
        <v>74</v>
      </c>
      <c r="BH946" t="s">
        <v>74</v>
      </c>
      <c r="BI946">
        <v>4</v>
      </c>
      <c r="BJ946" t="s">
        <v>1814</v>
      </c>
      <c r="BK946" t="s">
        <v>569</v>
      </c>
      <c r="BL946" t="s">
        <v>1814</v>
      </c>
      <c r="BM946" t="s">
        <v>12965</v>
      </c>
      <c r="BN946" t="s">
        <v>74</v>
      </c>
      <c r="BO946" t="s">
        <v>74</v>
      </c>
      <c r="BP946" t="s">
        <v>74</v>
      </c>
      <c r="BQ946" t="s">
        <v>74</v>
      </c>
      <c r="BR946" t="s">
        <v>98</v>
      </c>
      <c r="BS946" t="s">
        <v>12966</v>
      </c>
      <c r="BT946" t="str">
        <f>HYPERLINK("https%3A%2F%2Fwww.webofscience.com%2Fwos%2Fwoscc%2Ffull-record%2FWOS:000176607500006","View Full Record in Web of Science")</f>
        <v>View Full Record in Web of Science</v>
      </c>
    </row>
    <row r="947" spans="1:72" x14ac:dyDescent="0.15">
      <c r="A947" t="s">
        <v>552</v>
      </c>
      <c r="B947" t="s">
        <v>12967</v>
      </c>
      <c r="C947" t="s">
        <v>74</v>
      </c>
      <c r="D947" t="s">
        <v>74</v>
      </c>
      <c r="E947" t="s">
        <v>74</v>
      </c>
      <c r="F947" t="s">
        <v>12967</v>
      </c>
      <c r="G947" t="s">
        <v>74</v>
      </c>
      <c r="H947" t="s">
        <v>74</v>
      </c>
      <c r="I947" t="s">
        <v>12968</v>
      </c>
      <c r="J947" t="s">
        <v>7512</v>
      </c>
      <c r="K947" t="s">
        <v>74</v>
      </c>
      <c r="L947" t="s">
        <v>74</v>
      </c>
      <c r="M947" t="s">
        <v>78</v>
      </c>
      <c r="N947" t="s">
        <v>775</v>
      </c>
      <c r="O947" t="s">
        <v>74</v>
      </c>
      <c r="P947" t="s">
        <v>74</v>
      </c>
      <c r="Q947" t="s">
        <v>74</v>
      </c>
      <c r="R947" t="s">
        <v>74</v>
      </c>
      <c r="S947" t="s">
        <v>74</v>
      </c>
      <c r="T947" t="s">
        <v>12969</v>
      </c>
      <c r="U947" t="s">
        <v>12970</v>
      </c>
      <c r="V947" t="s">
        <v>12971</v>
      </c>
      <c r="W947" t="s">
        <v>12972</v>
      </c>
      <c r="X947" t="s">
        <v>12973</v>
      </c>
      <c r="Y947" t="s">
        <v>12974</v>
      </c>
      <c r="Z947" t="s">
        <v>74</v>
      </c>
      <c r="AA947" t="s">
        <v>12975</v>
      </c>
      <c r="AB947" t="s">
        <v>12976</v>
      </c>
      <c r="AC947" t="s">
        <v>74</v>
      </c>
      <c r="AD947" t="s">
        <v>74</v>
      </c>
      <c r="AE947" t="s">
        <v>74</v>
      </c>
      <c r="AF947" t="s">
        <v>74</v>
      </c>
      <c r="AG947">
        <v>24</v>
      </c>
      <c r="AH947">
        <v>95</v>
      </c>
      <c r="AI947">
        <v>104</v>
      </c>
      <c r="AJ947">
        <v>0</v>
      </c>
      <c r="AK947">
        <v>25</v>
      </c>
      <c r="AL947" t="s">
        <v>7521</v>
      </c>
      <c r="AM947" t="s">
        <v>7142</v>
      </c>
      <c r="AN947" t="s">
        <v>7522</v>
      </c>
      <c r="AO947" t="s">
        <v>7523</v>
      </c>
      <c r="AP947" t="s">
        <v>7524</v>
      </c>
      <c r="AQ947" t="s">
        <v>74</v>
      </c>
      <c r="AR947" t="s">
        <v>7512</v>
      </c>
      <c r="AS947" t="s">
        <v>1814</v>
      </c>
      <c r="AT947" t="s">
        <v>12719</v>
      </c>
      <c r="AU947">
        <v>2002</v>
      </c>
      <c r="AV947">
        <v>30</v>
      </c>
      <c r="AW947">
        <v>7</v>
      </c>
      <c r="AX947" t="s">
        <v>74</v>
      </c>
      <c r="AY947" t="s">
        <v>74</v>
      </c>
      <c r="AZ947" t="s">
        <v>74</v>
      </c>
      <c r="BA947" t="s">
        <v>74</v>
      </c>
      <c r="BB947">
        <v>659</v>
      </c>
      <c r="BC947">
        <v>662</v>
      </c>
      <c r="BD947" t="s">
        <v>74</v>
      </c>
      <c r="BE947" t="s">
        <v>12977</v>
      </c>
      <c r="BF947" t="str">
        <f>HYPERLINK("http://dx.doi.org/10.1130/0091-7613(2002)030&lt;0659:CGEADE&gt;2.0.CO;2","http://dx.doi.org/10.1130/0091-7613(2002)030&lt;0659:CGEADE&gt;2.0.CO;2")</f>
        <v>http://dx.doi.org/10.1130/0091-7613(2002)030&lt;0659:CGEADE&gt;2.0.CO;2</v>
      </c>
      <c r="BG947" t="s">
        <v>74</v>
      </c>
      <c r="BH947" t="s">
        <v>74</v>
      </c>
      <c r="BI947">
        <v>4</v>
      </c>
      <c r="BJ947" t="s">
        <v>1814</v>
      </c>
      <c r="BK947" t="s">
        <v>569</v>
      </c>
      <c r="BL947" t="s">
        <v>1814</v>
      </c>
      <c r="BM947" t="s">
        <v>12965</v>
      </c>
      <c r="BN947" t="s">
        <v>74</v>
      </c>
      <c r="BO947" t="s">
        <v>74</v>
      </c>
      <c r="BP947" t="s">
        <v>74</v>
      </c>
      <c r="BQ947" t="s">
        <v>74</v>
      </c>
      <c r="BR947" t="s">
        <v>98</v>
      </c>
      <c r="BS947" t="s">
        <v>12978</v>
      </c>
      <c r="BT947" t="str">
        <f>HYPERLINK("https%3A%2F%2Fwww.webofscience.com%2Fwos%2Fwoscc%2Ffull-record%2FWOS:000176607500020","View Full Record in Web of Science")</f>
        <v>View Full Record in Web of Science</v>
      </c>
    </row>
    <row r="948" spans="1:72" x14ac:dyDescent="0.15">
      <c r="A948" t="s">
        <v>552</v>
      </c>
      <c r="B948" t="s">
        <v>12979</v>
      </c>
      <c r="C948" t="s">
        <v>74</v>
      </c>
      <c r="D948" t="s">
        <v>74</v>
      </c>
      <c r="E948" t="s">
        <v>74</v>
      </c>
      <c r="F948" t="s">
        <v>12979</v>
      </c>
      <c r="G948" t="s">
        <v>74</v>
      </c>
      <c r="H948" t="s">
        <v>74</v>
      </c>
      <c r="I948" t="s">
        <v>12980</v>
      </c>
      <c r="J948" t="s">
        <v>8842</v>
      </c>
      <c r="K948" t="s">
        <v>74</v>
      </c>
      <c r="L948" t="s">
        <v>74</v>
      </c>
      <c r="M948" t="s">
        <v>78</v>
      </c>
      <c r="N948" t="s">
        <v>1114</v>
      </c>
      <c r="O948" t="s">
        <v>74</v>
      </c>
      <c r="P948" t="s">
        <v>74</v>
      </c>
      <c r="Q948" t="s">
        <v>74</v>
      </c>
      <c r="R948" t="s">
        <v>74</v>
      </c>
      <c r="S948" t="s">
        <v>74</v>
      </c>
      <c r="T948" t="s">
        <v>12981</v>
      </c>
      <c r="U948" t="s">
        <v>12982</v>
      </c>
      <c r="V948" t="s">
        <v>12983</v>
      </c>
      <c r="W948" t="s">
        <v>12984</v>
      </c>
      <c r="X948" t="s">
        <v>12985</v>
      </c>
      <c r="Y948" t="s">
        <v>12986</v>
      </c>
      <c r="Z948" t="s">
        <v>12987</v>
      </c>
      <c r="AA948" t="s">
        <v>12988</v>
      </c>
      <c r="AB948" t="s">
        <v>12989</v>
      </c>
      <c r="AC948" t="s">
        <v>74</v>
      </c>
      <c r="AD948" t="s">
        <v>74</v>
      </c>
      <c r="AE948" t="s">
        <v>74</v>
      </c>
      <c r="AF948" t="s">
        <v>74</v>
      </c>
      <c r="AG948">
        <v>122</v>
      </c>
      <c r="AH948">
        <v>197</v>
      </c>
      <c r="AI948">
        <v>203</v>
      </c>
      <c r="AJ948">
        <v>1</v>
      </c>
      <c r="AK948">
        <v>55</v>
      </c>
      <c r="AL948" t="s">
        <v>387</v>
      </c>
      <c r="AM948" t="s">
        <v>388</v>
      </c>
      <c r="AN948" t="s">
        <v>389</v>
      </c>
      <c r="AO948" t="s">
        <v>8852</v>
      </c>
      <c r="AP948" t="s">
        <v>8853</v>
      </c>
      <c r="AQ948" t="s">
        <v>74</v>
      </c>
      <c r="AR948" t="s">
        <v>8854</v>
      </c>
      <c r="AS948" t="s">
        <v>8855</v>
      </c>
      <c r="AT948" t="s">
        <v>12705</v>
      </c>
      <c r="AU948">
        <v>2002</v>
      </c>
      <c r="AV948">
        <v>16</v>
      </c>
      <c r="AW948">
        <v>3</v>
      </c>
      <c r="AX948" t="s">
        <v>74</v>
      </c>
      <c r="AY948" t="s">
        <v>74</v>
      </c>
      <c r="AZ948" t="s">
        <v>74</v>
      </c>
      <c r="BA948" t="s">
        <v>74</v>
      </c>
      <c r="BB948" t="s">
        <v>74</v>
      </c>
      <c r="BC948" t="s">
        <v>74</v>
      </c>
      <c r="BD948">
        <v>1037</v>
      </c>
      <c r="BE948" t="s">
        <v>12990</v>
      </c>
      <c r="BF948" t="str">
        <f>HYPERLINK("http://dx.doi.org/10.1029/2000GB001383","http://dx.doi.org/10.1029/2000GB001383")</f>
        <v>http://dx.doi.org/10.1029/2000GB001383</v>
      </c>
      <c r="BG948" t="s">
        <v>74</v>
      </c>
      <c r="BH948" t="s">
        <v>74</v>
      </c>
      <c r="BI948">
        <v>20</v>
      </c>
      <c r="BJ948" t="s">
        <v>8858</v>
      </c>
      <c r="BK948" t="s">
        <v>569</v>
      </c>
      <c r="BL948" t="s">
        <v>8859</v>
      </c>
      <c r="BM948" t="s">
        <v>12991</v>
      </c>
      <c r="BN948" t="s">
        <v>74</v>
      </c>
      <c r="BO948" t="s">
        <v>572</v>
      </c>
      <c r="BP948" t="s">
        <v>74</v>
      </c>
      <c r="BQ948" t="s">
        <v>74</v>
      </c>
      <c r="BR948" t="s">
        <v>98</v>
      </c>
      <c r="BS948" t="s">
        <v>12992</v>
      </c>
      <c r="BT948" t="str">
        <f>HYPERLINK("https%3A%2F%2Fwww.webofscience.com%2Fwos%2Fwoscc%2Ffull-record%2FWOS:000179008700008","View Full Record in Web of Science")</f>
        <v>View Full Record in Web of Science</v>
      </c>
    </row>
    <row r="949" spans="1:72" x14ac:dyDescent="0.15">
      <c r="A949" t="s">
        <v>552</v>
      </c>
      <c r="B949" t="s">
        <v>12993</v>
      </c>
      <c r="C949" t="s">
        <v>74</v>
      </c>
      <c r="D949" t="s">
        <v>74</v>
      </c>
      <c r="E949" t="s">
        <v>74</v>
      </c>
      <c r="F949" t="s">
        <v>12993</v>
      </c>
      <c r="G949" t="s">
        <v>74</v>
      </c>
      <c r="H949" t="s">
        <v>74</v>
      </c>
      <c r="I949" t="s">
        <v>12994</v>
      </c>
      <c r="J949" t="s">
        <v>8842</v>
      </c>
      <c r="K949" t="s">
        <v>74</v>
      </c>
      <c r="L949" t="s">
        <v>74</v>
      </c>
      <c r="M949" t="s">
        <v>78</v>
      </c>
      <c r="N949" t="s">
        <v>775</v>
      </c>
      <c r="O949" t="s">
        <v>74</v>
      </c>
      <c r="P949" t="s">
        <v>74</v>
      </c>
      <c r="Q949" t="s">
        <v>74</v>
      </c>
      <c r="R949" t="s">
        <v>74</v>
      </c>
      <c r="S949" t="s">
        <v>74</v>
      </c>
      <c r="T949" t="s">
        <v>12995</v>
      </c>
      <c r="U949" t="s">
        <v>12996</v>
      </c>
      <c r="V949" t="s">
        <v>12997</v>
      </c>
      <c r="W949" t="s">
        <v>12998</v>
      </c>
      <c r="X949" t="s">
        <v>12999</v>
      </c>
      <c r="Y949" t="s">
        <v>13000</v>
      </c>
      <c r="Z949" t="s">
        <v>13001</v>
      </c>
      <c r="AA949" t="s">
        <v>13002</v>
      </c>
      <c r="AB949" t="s">
        <v>13003</v>
      </c>
      <c r="AC949" t="s">
        <v>74</v>
      </c>
      <c r="AD949" t="s">
        <v>74</v>
      </c>
      <c r="AE949" t="s">
        <v>74</v>
      </c>
      <c r="AF949" t="s">
        <v>74</v>
      </c>
      <c r="AG949">
        <v>98</v>
      </c>
      <c r="AH949">
        <v>170</v>
      </c>
      <c r="AI949">
        <v>189</v>
      </c>
      <c r="AJ949">
        <v>2</v>
      </c>
      <c r="AK949">
        <v>45</v>
      </c>
      <c r="AL949" t="s">
        <v>387</v>
      </c>
      <c r="AM949" t="s">
        <v>388</v>
      </c>
      <c r="AN949" t="s">
        <v>389</v>
      </c>
      <c r="AO949" t="s">
        <v>8852</v>
      </c>
      <c r="AP949" t="s">
        <v>8853</v>
      </c>
      <c r="AQ949" t="s">
        <v>74</v>
      </c>
      <c r="AR949" t="s">
        <v>8854</v>
      </c>
      <c r="AS949" t="s">
        <v>8855</v>
      </c>
      <c r="AT949" t="s">
        <v>12705</v>
      </c>
      <c r="AU949">
        <v>2002</v>
      </c>
      <c r="AV949">
        <v>16</v>
      </c>
      <c r="AW949">
        <v>3</v>
      </c>
      <c r="AX949" t="s">
        <v>74</v>
      </c>
      <c r="AY949" t="s">
        <v>74</v>
      </c>
      <c r="AZ949" t="s">
        <v>74</v>
      </c>
      <c r="BA949" t="s">
        <v>74</v>
      </c>
      <c r="BB949" t="s">
        <v>74</v>
      </c>
      <c r="BC949" t="s">
        <v>74</v>
      </c>
      <c r="BD949">
        <v>1031</v>
      </c>
      <c r="BE949" t="s">
        <v>13004</v>
      </c>
      <c r="BF949" t="str">
        <f>HYPERLINK("http://dx.doi.org/10.1029/2001GB001442","http://dx.doi.org/10.1029/2001GB001442")</f>
        <v>http://dx.doi.org/10.1029/2001GB001442</v>
      </c>
      <c r="BG949" t="s">
        <v>74</v>
      </c>
      <c r="BH949" t="s">
        <v>74</v>
      </c>
      <c r="BI949">
        <v>23</v>
      </c>
      <c r="BJ949" t="s">
        <v>8858</v>
      </c>
      <c r="BK949" t="s">
        <v>569</v>
      </c>
      <c r="BL949" t="s">
        <v>8859</v>
      </c>
      <c r="BM949" t="s">
        <v>12991</v>
      </c>
      <c r="BN949" t="s">
        <v>74</v>
      </c>
      <c r="BO949" t="s">
        <v>572</v>
      </c>
      <c r="BP949" t="s">
        <v>74</v>
      </c>
      <c r="BQ949" t="s">
        <v>74</v>
      </c>
      <c r="BR949" t="s">
        <v>98</v>
      </c>
      <c r="BS949" t="s">
        <v>13005</v>
      </c>
      <c r="BT949" t="str">
        <f>HYPERLINK("https%3A%2F%2Fwww.webofscience.com%2Fwos%2Fwoscc%2Ffull-record%2FWOS:000179008700014","View Full Record in Web of Science")</f>
        <v>View Full Record in Web of Science</v>
      </c>
    </row>
    <row r="950" spans="1:72" x14ac:dyDescent="0.15">
      <c r="A950" t="s">
        <v>552</v>
      </c>
      <c r="B950" t="s">
        <v>13006</v>
      </c>
      <c r="C950" t="s">
        <v>74</v>
      </c>
      <c r="D950" t="s">
        <v>74</v>
      </c>
      <c r="E950" t="s">
        <v>74</v>
      </c>
      <c r="F950" t="s">
        <v>13006</v>
      </c>
      <c r="G950" t="s">
        <v>74</v>
      </c>
      <c r="H950" t="s">
        <v>74</v>
      </c>
      <c r="I950" t="s">
        <v>13007</v>
      </c>
      <c r="J950" t="s">
        <v>8842</v>
      </c>
      <c r="K950" t="s">
        <v>74</v>
      </c>
      <c r="L950" t="s">
        <v>74</v>
      </c>
      <c r="M950" t="s">
        <v>78</v>
      </c>
      <c r="N950" t="s">
        <v>775</v>
      </c>
      <c r="O950" t="s">
        <v>74</v>
      </c>
      <c r="P950" t="s">
        <v>74</v>
      </c>
      <c r="Q950" t="s">
        <v>74</v>
      </c>
      <c r="R950" t="s">
        <v>74</v>
      </c>
      <c r="S950" t="s">
        <v>74</v>
      </c>
      <c r="T950" t="s">
        <v>13008</v>
      </c>
      <c r="U950" t="s">
        <v>13009</v>
      </c>
      <c r="V950" t="s">
        <v>13010</v>
      </c>
      <c r="W950" t="s">
        <v>13011</v>
      </c>
      <c r="X950" t="s">
        <v>13012</v>
      </c>
      <c r="Y950" t="s">
        <v>8651</v>
      </c>
      <c r="Z950" t="s">
        <v>13013</v>
      </c>
      <c r="AA950" t="s">
        <v>13014</v>
      </c>
      <c r="AB950" t="s">
        <v>13015</v>
      </c>
      <c r="AC950" t="s">
        <v>74</v>
      </c>
      <c r="AD950" t="s">
        <v>74</v>
      </c>
      <c r="AE950" t="s">
        <v>74</v>
      </c>
      <c r="AF950" t="s">
        <v>74</v>
      </c>
      <c r="AG950">
        <v>75</v>
      </c>
      <c r="AH950">
        <v>59</v>
      </c>
      <c r="AI950">
        <v>69</v>
      </c>
      <c r="AJ950">
        <v>3</v>
      </c>
      <c r="AK950">
        <v>45</v>
      </c>
      <c r="AL950" t="s">
        <v>387</v>
      </c>
      <c r="AM950" t="s">
        <v>388</v>
      </c>
      <c r="AN950" t="s">
        <v>389</v>
      </c>
      <c r="AO950" t="s">
        <v>8852</v>
      </c>
      <c r="AP950" t="s">
        <v>8853</v>
      </c>
      <c r="AQ950" t="s">
        <v>74</v>
      </c>
      <c r="AR950" t="s">
        <v>8854</v>
      </c>
      <c r="AS950" t="s">
        <v>8855</v>
      </c>
      <c r="AT950" t="s">
        <v>12705</v>
      </c>
      <c r="AU950">
        <v>2002</v>
      </c>
      <c r="AV950">
        <v>16</v>
      </c>
      <c r="AW950">
        <v>3</v>
      </c>
      <c r="AX950" t="s">
        <v>74</v>
      </c>
      <c r="AY950" t="s">
        <v>74</v>
      </c>
      <c r="AZ950" t="s">
        <v>74</v>
      </c>
      <c r="BA950" t="s">
        <v>74</v>
      </c>
      <c r="BB950" t="s">
        <v>74</v>
      </c>
      <c r="BC950" t="s">
        <v>74</v>
      </c>
      <c r="BD950">
        <v>1041</v>
      </c>
      <c r="BE950" t="s">
        <v>13016</v>
      </c>
      <c r="BF950" t="str">
        <f>HYPERLINK("http://dx.doi.org/10.1029/2000GB001384","http://dx.doi.org/10.1029/2000GB001384")</f>
        <v>http://dx.doi.org/10.1029/2000GB001384</v>
      </c>
      <c r="BG950" t="s">
        <v>74</v>
      </c>
      <c r="BH950" t="s">
        <v>74</v>
      </c>
      <c r="BI950">
        <v>15</v>
      </c>
      <c r="BJ950" t="s">
        <v>8858</v>
      </c>
      <c r="BK950" t="s">
        <v>569</v>
      </c>
      <c r="BL950" t="s">
        <v>8859</v>
      </c>
      <c r="BM950" t="s">
        <v>12991</v>
      </c>
      <c r="BN950" t="s">
        <v>74</v>
      </c>
      <c r="BO950" t="s">
        <v>572</v>
      </c>
      <c r="BP950" t="s">
        <v>74</v>
      </c>
      <c r="BQ950" t="s">
        <v>74</v>
      </c>
      <c r="BR950" t="s">
        <v>98</v>
      </c>
      <c r="BS950" t="s">
        <v>13017</v>
      </c>
      <c r="BT950" t="str">
        <f>HYPERLINK("https%3A%2F%2Fwww.webofscience.com%2Fwos%2Fwoscc%2Ffull-record%2FWOS:000179008700005","View Full Record in Web of Science")</f>
        <v>View Full Record in Web of Science</v>
      </c>
    </row>
    <row r="951" spans="1:72" x14ac:dyDescent="0.15">
      <c r="A951" t="s">
        <v>552</v>
      </c>
      <c r="B951" t="s">
        <v>13018</v>
      </c>
      <c r="C951" t="s">
        <v>74</v>
      </c>
      <c r="D951" t="s">
        <v>74</v>
      </c>
      <c r="E951" t="s">
        <v>74</v>
      </c>
      <c r="F951" t="s">
        <v>13018</v>
      </c>
      <c r="G951" t="s">
        <v>74</v>
      </c>
      <c r="H951" t="s">
        <v>74</v>
      </c>
      <c r="I951" t="s">
        <v>13019</v>
      </c>
      <c r="J951" t="s">
        <v>13020</v>
      </c>
      <c r="K951" t="s">
        <v>74</v>
      </c>
      <c r="L951" t="s">
        <v>74</v>
      </c>
      <c r="M951" t="s">
        <v>78</v>
      </c>
      <c r="N951" t="s">
        <v>775</v>
      </c>
      <c r="O951" t="s">
        <v>74</v>
      </c>
      <c r="P951" t="s">
        <v>74</v>
      </c>
      <c r="Q951" t="s">
        <v>74</v>
      </c>
      <c r="R951" t="s">
        <v>74</v>
      </c>
      <c r="S951" t="s">
        <v>74</v>
      </c>
      <c r="T951" t="s">
        <v>74</v>
      </c>
      <c r="U951" t="s">
        <v>13021</v>
      </c>
      <c r="V951" t="s">
        <v>74</v>
      </c>
      <c r="W951" t="s">
        <v>13022</v>
      </c>
      <c r="X951" t="s">
        <v>13023</v>
      </c>
      <c r="Y951" t="s">
        <v>13024</v>
      </c>
      <c r="Z951" t="s">
        <v>13025</v>
      </c>
      <c r="AA951" t="s">
        <v>74</v>
      </c>
      <c r="AB951" t="s">
        <v>13026</v>
      </c>
      <c r="AC951" t="s">
        <v>74</v>
      </c>
      <c r="AD951" t="s">
        <v>74</v>
      </c>
      <c r="AE951" t="s">
        <v>74</v>
      </c>
      <c r="AF951" t="s">
        <v>74</v>
      </c>
      <c r="AG951">
        <v>8</v>
      </c>
      <c r="AH951">
        <v>3</v>
      </c>
      <c r="AI951">
        <v>3</v>
      </c>
      <c r="AJ951">
        <v>0</v>
      </c>
      <c r="AK951">
        <v>5</v>
      </c>
      <c r="AL951" t="s">
        <v>1147</v>
      </c>
      <c r="AM951" t="s">
        <v>1148</v>
      </c>
      <c r="AN951" t="s">
        <v>1149</v>
      </c>
      <c r="AO951" t="s">
        <v>13027</v>
      </c>
      <c r="AP951" t="s">
        <v>13028</v>
      </c>
      <c r="AQ951" t="s">
        <v>74</v>
      </c>
      <c r="AR951" t="s">
        <v>13020</v>
      </c>
      <c r="AS951" t="s">
        <v>13029</v>
      </c>
      <c r="AT951" t="s">
        <v>12719</v>
      </c>
      <c r="AU951">
        <v>2002</v>
      </c>
      <c r="AV951">
        <v>144</v>
      </c>
      <c r="AW951">
        <v>3</v>
      </c>
      <c r="AX951" t="s">
        <v>74</v>
      </c>
      <c r="AY951" t="s">
        <v>74</v>
      </c>
      <c r="AZ951" t="s">
        <v>74</v>
      </c>
      <c r="BA951" t="s">
        <v>74</v>
      </c>
      <c r="BB951">
        <v>529</v>
      </c>
      <c r="BC951">
        <v>529</v>
      </c>
      <c r="BD951" t="s">
        <v>74</v>
      </c>
      <c r="BE951" t="s">
        <v>13030</v>
      </c>
      <c r="BF951" t="str">
        <f>HYPERLINK("http://dx.doi.org/10.1046/j.1474-919X.2002.00073.x","http://dx.doi.org/10.1046/j.1474-919X.2002.00073.x")</f>
        <v>http://dx.doi.org/10.1046/j.1474-919X.2002.00073.x</v>
      </c>
      <c r="BG951" t="s">
        <v>74</v>
      </c>
      <c r="BH951" t="s">
        <v>74</v>
      </c>
      <c r="BI951">
        <v>1</v>
      </c>
      <c r="BJ951" t="s">
        <v>926</v>
      </c>
      <c r="BK951" t="s">
        <v>569</v>
      </c>
      <c r="BL951" t="s">
        <v>927</v>
      </c>
      <c r="BM951" t="s">
        <v>13031</v>
      </c>
      <c r="BN951" t="s">
        <v>74</v>
      </c>
      <c r="BO951" t="s">
        <v>74</v>
      </c>
      <c r="BP951" t="s">
        <v>74</v>
      </c>
      <c r="BQ951" t="s">
        <v>74</v>
      </c>
      <c r="BR951" t="s">
        <v>98</v>
      </c>
      <c r="BS951" t="s">
        <v>13032</v>
      </c>
      <c r="BT951" t="str">
        <f>HYPERLINK("https%3A%2F%2Fwww.webofscience.com%2Fwos%2Fwoscc%2Ffull-record%2FWOS:000176323200020","View Full Record in Web of Science")</f>
        <v>View Full Record in Web of Science</v>
      </c>
    </row>
    <row r="952" spans="1:72" x14ac:dyDescent="0.15">
      <c r="A952" t="s">
        <v>552</v>
      </c>
      <c r="B952" t="s">
        <v>13033</v>
      </c>
      <c r="C952" t="s">
        <v>74</v>
      </c>
      <c r="D952" t="s">
        <v>74</v>
      </c>
      <c r="E952" t="s">
        <v>74</v>
      </c>
      <c r="F952" t="s">
        <v>13033</v>
      </c>
      <c r="G952" t="s">
        <v>74</v>
      </c>
      <c r="H952" t="s">
        <v>74</v>
      </c>
      <c r="I952" t="s">
        <v>13034</v>
      </c>
      <c r="J952" t="s">
        <v>13020</v>
      </c>
      <c r="K952" t="s">
        <v>74</v>
      </c>
      <c r="L952" t="s">
        <v>74</v>
      </c>
      <c r="M952" t="s">
        <v>78</v>
      </c>
      <c r="N952" t="s">
        <v>775</v>
      </c>
      <c r="O952" t="s">
        <v>74</v>
      </c>
      <c r="P952" t="s">
        <v>74</v>
      </c>
      <c r="Q952" t="s">
        <v>74</v>
      </c>
      <c r="R952" t="s">
        <v>74</v>
      </c>
      <c r="S952" t="s">
        <v>74</v>
      </c>
      <c r="T952" t="s">
        <v>74</v>
      </c>
      <c r="U952" t="s">
        <v>13035</v>
      </c>
      <c r="V952" t="s">
        <v>13036</v>
      </c>
      <c r="W952" t="s">
        <v>13037</v>
      </c>
      <c r="X952" t="s">
        <v>13038</v>
      </c>
      <c r="Y952" t="s">
        <v>13039</v>
      </c>
      <c r="Z952" t="s">
        <v>74</v>
      </c>
      <c r="AA952" t="s">
        <v>13040</v>
      </c>
      <c r="AB952" t="s">
        <v>74</v>
      </c>
      <c r="AC952" t="s">
        <v>74</v>
      </c>
      <c r="AD952" t="s">
        <v>74</v>
      </c>
      <c r="AE952" t="s">
        <v>74</v>
      </c>
      <c r="AF952" t="s">
        <v>74</v>
      </c>
      <c r="AG952">
        <v>37</v>
      </c>
      <c r="AH952">
        <v>51</v>
      </c>
      <c r="AI952">
        <v>55</v>
      </c>
      <c r="AJ952">
        <v>1</v>
      </c>
      <c r="AK952">
        <v>12</v>
      </c>
      <c r="AL952" t="s">
        <v>13041</v>
      </c>
      <c r="AM952" t="s">
        <v>13042</v>
      </c>
      <c r="AN952" t="s">
        <v>13043</v>
      </c>
      <c r="AO952" t="s">
        <v>13027</v>
      </c>
      <c r="AP952" t="s">
        <v>74</v>
      </c>
      <c r="AQ952" t="s">
        <v>74</v>
      </c>
      <c r="AR952" t="s">
        <v>13020</v>
      </c>
      <c r="AS952" t="s">
        <v>13029</v>
      </c>
      <c r="AT952" t="s">
        <v>12719</v>
      </c>
      <c r="AU952">
        <v>2002</v>
      </c>
      <c r="AV952">
        <v>144</v>
      </c>
      <c r="AW952">
        <v>3</v>
      </c>
      <c r="AX952" t="s">
        <v>74</v>
      </c>
      <c r="AY952" t="s">
        <v>74</v>
      </c>
      <c r="AZ952" t="s">
        <v>74</v>
      </c>
      <c r="BA952" t="s">
        <v>74</v>
      </c>
      <c r="BB952" t="s">
        <v>13044</v>
      </c>
      <c r="BC952" t="s">
        <v>13045</v>
      </c>
      <c r="BD952" t="s">
        <v>74</v>
      </c>
      <c r="BE952" t="s">
        <v>13046</v>
      </c>
      <c r="BF952" t="str">
        <f>HYPERLINK("http://dx.doi.org/10.1046/j.1474-919X.2002.00092.x","http://dx.doi.org/10.1046/j.1474-919X.2002.00092.x")</f>
        <v>http://dx.doi.org/10.1046/j.1474-919X.2002.00092.x</v>
      </c>
      <c r="BG952" t="s">
        <v>74</v>
      </c>
      <c r="BH952" t="s">
        <v>74</v>
      </c>
      <c r="BI952">
        <v>14</v>
      </c>
      <c r="BJ952" t="s">
        <v>926</v>
      </c>
      <c r="BK952" t="s">
        <v>569</v>
      </c>
      <c r="BL952" t="s">
        <v>927</v>
      </c>
      <c r="BM952" t="s">
        <v>13031</v>
      </c>
      <c r="BN952" t="s">
        <v>74</v>
      </c>
      <c r="BO952" t="s">
        <v>74</v>
      </c>
      <c r="BP952" t="s">
        <v>74</v>
      </c>
      <c r="BQ952" t="s">
        <v>74</v>
      </c>
      <c r="BR952" t="s">
        <v>98</v>
      </c>
      <c r="BS952" t="s">
        <v>13047</v>
      </c>
      <c r="BT952" t="str">
        <f>HYPERLINK("https%3A%2F%2Fwww.webofscience.com%2Fwos%2Fwoscc%2Ffull-record%2FWOS:000176323200003","View Full Record in Web of Science")</f>
        <v>View Full Record in Web of Science</v>
      </c>
    </row>
    <row r="953" spans="1:72" x14ac:dyDescent="0.15">
      <c r="A953" t="s">
        <v>552</v>
      </c>
      <c r="B953" t="s">
        <v>13048</v>
      </c>
      <c r="C953" t="s">
        <v>74</v>
      </c>
      <c r="D953" t="s">
        <v>74</v>
      </c>
      <c r="E953" t="s">
        <v>74</v>
      </c>
      <c r="F953" t="s">
        <v>13048</v>
      </c>
      <c r="G953" t="s">
        <v>74</v>
      </c>
      <c r="H953" t="s">
        <v>74</v>
      </c>
      <c r="I953" t="s">
        <v>13049</v>
      </c>
      <c r="J953" t="s">
        <v>2644</v>
      </c>
      <c r="K953" t="s">
        <v>74</v>
      </c>
      <c r="L953" t="s">
        <v>74</v>
      </c>
      <c r="M953" t="s">
        <v>78</v>
      </c>
      <c r="N953" t="s">
        <v>775</v>
      </c>
      <c r="O953" t="s">
        <v>74</v>
      </c>
      <c r="P953" t="s">
        <v>74</v>
      </c>
      <c r="Q953" t="s">
        <v>74</v>
      </c>
      <c r="R953" t="s">
        <v>74</v>
      </c>
      <c r="S953" t="s">
        <v>74</v>
      </c>
      <c r="T953" t="s">
        <v>74</v>
      </c>
      <c r="U953" t="s">
        <v>13050</v>
      </c>
      <c r="V953" t="s">
        <v>13051</v>
      </c>
      <c r="W953" t="s">
        <v>13052</v>
      </c>
      <c r="X953" t="s">
        <v>13053</v>
      </c>
      <c r="Y953" t="s">
        <v>13054</v>
      </c>
      <c r="Z953" t="s">
        <v>74</v>
      </c>
      <c r="AA953" t="s">
        <v>13055</v>
      </c>
      <c r="AB953" t="s">
        <v>13056</v>
      </c>
      <c r="AC953" t="s">
        <v>74</v>
      </c>
      <c r="AD953" t="s">
        <v>74</v>
      </c>
      <c r="AE953" t="s">
        <v>74</v>
      </c>
      <c r="AF953" t="s">
        <v>74</v>
      </c>
      <c r="AG953">
        <v>34</v>
      </c>
      <c r="AH953">
        <v>77</v>
      </c>
      <c r="AI953">
        <v>85</v>
      </c>
      <c r="AJ953">
        <v>1</v>
      </c>
      <c r="AK953">
        <v>11</v>
      </c>
      <c r="AL953" t="s">
        <v>2652</v>
      </c>
      <c r="AM953" t="s">
        <v>2653</v>
      </c>
      <c r="AN953" t="s">
        <v>2654</v>
      </c>
      <c r="AO953" t="s">
        <v>2655</v>
      </c>
      <c r="AP953" t="s">
        <v>74</v>
      </c>
      <c r="AQ953" t="s">
        <v>74</v>
      </c>
      <c r="AR953" t="s">
        <v>2656</v>
      </c>
      <c r="AS953" t="s">
        <v>2657</v>
      </c>
      <c r="AT953" t="s">
        <v>12719</v>
      </c>
      <c r="AU953">
        <v>2002</v>
      </c>
      <c r="AV953">
        <v>15</v>
      </c>
      <c r="AW953">
        <v>14</v>
      </c>
      <c r="AX953" t="s">
        <v>74</v>
      </c>
      <c r="AY953" t="s">
        <v>74</v>
      </c>
      <c r="AZ953" t="s">
        <v>74</v>
      </c>
      <c r="BA953" t="s">
        <v>74</v>
      </c>
      <c r="BB953">
        <v>1957</v>
      </c>
      <c r="BC953">
        <v>1968</v>
      </c>
      <c r="BD953" t="s">
        <v>74</v>
      </c>
      <c r="BE953" t="s">
        <v>13057</v>
      </c>
      <c r="BF953" t="str">
        <f>HYPERLINK("http://dx.doi.org/10.1175/1520-0442(2002)015&lt;1957:APTASR&gt;2.0.CO;2","http://dx.doi.org/10.1175/1520-0442(2002)015&lt;1957:APTASR&gt;2.0.CO;2")</f>
        <v>http://dx.doi.org/10.1175/1520-0442(2002)015&lt;1957:APTASR&gt;2.0.CO;2</v>
      </c>
      <c r="BG953" t="s">
        <v>74</v>
      </c>
      <c r="BH953" t="s">
        <v>74</v>
      </c>
      <c r="BI953">
        <v>12</v>
      </c>
      <c r="BJ953" t="s">
        <v>1237</v>
      </c>
      <c r="BK953" t="s">
        <v>569</v>
      </c>
      <c r="BL953" t="s">
        <v>1237</v>
      </c>
      <c r="BM953" t="s">
        <v>13058</v>
      </c>
      <c r="BN953" t="s">
        <v>74</v>
      </c>
      <c r="BO953" t="s">
        <v>2660</v>
      </c>
      <c r="BP953" t="s">
        <v>74</v>
      </c>
      <c r="BQ953" t="s">
        <v>74</v>
      </c>
      <c r="BR953" t="s">
        <v>98</v>
      </c>
      <c r="BS953" t="s">
        <v>13059</v>
      </c>
      <c r="BT953" t="str">
        <f>HYPERLINK("https%3A%2F%2Fwww.webofscience.com%2Fwos%2Fwoscc%2Ffull-record%2FWOS:000176655500010","View Full Record in Web of Science")</f>
        <v>View Full Record in Web of Science</v>
      </c>
    </row>
    <row r="954" spans="1:72" x14ac:dyDescent="0.15">
      <c r="A954" t="s">
        <v>552</v>
      </c>
      <c r="B954" t="s">
        <v>13060</v>
      </c>
      <c r="C954" t="s">
        <v>74</v>
      </c>
      <c r="D954" t="s">
        <v>74</v>
      </c>
      <c r="E954" t="s">
        <v>74</v>
      </c>
      <c r="F954" t="s">
        <v>13060</v>
      </c>
      <c r="G954" t="s">
        <v>74</v>
      </c>
      <c r="H954" t="s">
        <v>74</v>
      </c>
      <c r="I954" t="s">
        <v>13061</v>
      </c>
      <c r="J954" t="s">
        <v>2706</v>
      </c>
      <c r="K954" t="s">
        <v>74</v>
      </c>
      <c r="L954" t="s">
        <v>74</v>
      </c>
      <c r="M954" t="s">
        <v>78</v>
      </c>
      <c r="N954" t="s">
        <v>775</v>
      </c>
      <c r="O954" t="s">
        <v>74</v>
      </c>
      <c r="P954" t="s">
        <v>74</v>
      </c>
      <c r="Q954" t="s">
        <v>74</v>
      </c>
      <c r="R954" t="s">
        <v>74</v>
      </c>
      <c r="S954" t="s">
        <v>74</v>
      </c>
      <c r="T954" t="s">
        <v>13062</v>
      </c>
      <c r="U954" t="s">
        <v>13063</v>
      </c>
      <c r="V954" t="s">
        <v>13064</v>
      </c>
      <c r="W954" t="s">
        <v>13065</v>
      </c>
      <c r="X954" t="s">
        <v>1304</v>
      </c>
      <c r="Y954" t="s">
        <v>13066</v>
      </c>
      <c r="Z954" t="s">
        <v>74</v>
      </c>
      <c r="AA954" t="s">
        <v>11552</v>
      </c>
      <c r="AB954" t="s">
        <v>1308</v>
      </c>
      <c r="AC954" t="s">
        <v>74</v>
      </c>
      <c r="AD954" t="s">
        <v>74</v>
      </c>
      <c r="AE954" t="s">
        <v>74</v>
      </c>
      <c r="AF954" t="s">
        <v>74</v>
      </c>
      <c r="AG954">
        <v>40</v>
      </c>
      <c r="AH954">
        <v>380</v>
      </c>
      <c r="AI954">
        <v>424</v>
      </c>
      <c r="AJ954">
        <v>2</v>
      </c>
      <c r="AK954">
        <v>93</v>
      </c>
      <c r="AL954" t="s">
        <v>2715</v>
      </c>
      <c r="AM954" t="s">
        <v>1168</v>
      </c>
      <c r="AN954" t="s">
        <v>2716</v>
      </c>
      <c r="AO954" t="s">
        <v>2717</v>
      </c>
      <c r="AP954" t="s">
        <v>74</v>
      </c>
      <c r="AQ954" t="s">
        <v>74</v>
      </c>
      <c r="AR954" t="s">
        <v>2718</v>
      </c>
      <c r="AS954" t="s">
        <v>2719</v>
      </c>
      <c r="AT954" t="s">
        <v>12719</v>
      </c>
      <c r="AU954">
        <v>2002</v>
      </c>
      <c r="AV954">
        <v>205</v>
      </c>
      <c r="AW954">
        <v>13</v>
      </c>
      <c r="AX954" t="s">
        <v>74</v>
      </c>
      <c r="AY954" t="s">
        <v>74</v>
      </c>
      <c r="AZ954" t="s">
        <v>74</v>
      </c>
      <c r="BA954" t="s">
        <v>74</v>
      </c>
      <c r="BB954">
        <v>1831</v>
      </c>
      <c r="BC954">
        <v>1841</v>
      </c>
      <c r="BD954" t="s">
        <v>13067</v>
      </c>
      <c r="BE954" t="s">
        <v>74</v>
      </c>
      <c r="BF954" t="s">
        <v>74</v>
      </c>
      <c r="BG954" t="s">
        <v>74</v>
      </c>
      <c r="BH954" t="s">
        <v>74</v>
      </c>
      <c r="BI954">
        <v>11</v>
      </c>
      <c r="BJ954" t="s">
        <v>948</v>
      </c>
      <c r="BK954" t="s">
        <v>569</v>
      </c>
      <c r="BL954" t="s">
        <v>949</v>
      </c>
      <c r="BM954" t="s">
        <v>13068</v>
      </c>
      <c r="BN954">
        <v>12077159</v>
      </c>
      <c r="BO954" t="s">
        <v>74</v>
      </c>
      <c r="BP954" t="s">
        <v>74</v>
      </c>
      <c r="BQ954" t="s">
        <v>74</v>
      </c>
      <c r="BR954" t="s">
        <v>98</v>
      </c>
      <c r="BS954" t="s">
        <v>13069</v>
      </c>
      <c r="BT954" t="str">
        <f>HYPERLINK("https%3A%2F%2Fwww.webofscience.com%2Fwos%2Fwoscc%2Ffull-record%2FWOS:000176960600001","View Full Record in Web of Science")</f>
        <v>View Full Record in Web of Science</v>
      </c>
    </row>
    <row r="955" spans="1:72" x14ac:dyDescent="0.15">
      <c r="A955" t="s">
        <v>552</v>
      </c>
      <c r="B955" t="s">
        <v>13070</v>
      </c>
      <c r="C955" t="s">
        <v>74</v>
      </c>
      <c r="D955" t="s">
        <v>74</v>
      </c>
      <c r="E955" t="s">
        <v>74</v>
      </c>
      <c r="F955" t="s">
        <v>13070</v>
      </c>
      <c r="G955" t="s">
        <v>74</v>
      </c>
      <c r="H955" t="s">
        <v>74</v>
      </c>
      <c r="I955" t="s">
        <v>13071</v>
      </c>
      <c r="J955" t="s">
        <v>9000</v>
      </c>
      <c r="K955" t="s">
        <v>74</v>
      </c>
      <c r="L955" t="s">
        <v>74</v>
      </c>
      <c r="M955" t="s">
        <v>78</v>
      </c>
      <c r="N955" t="s">
        <v>775</v>
      </c>
      <c r="O955" t="s">
        <v>74</v>
      </c>
      <c r="P955" t="s">
        <v>74</v>
      </c>
      <c r="Q955" t="s">
        <v>74</v>
      </c>
      <c r="R955" t="s">
        <v>74</v>
      </c>
      <c r="S955" t="s">
        <v>74</v>
      </c>
      <c r="T955" t="s">
        <v>74</v>
      </c>
      <c r="U955" t="s">
        <v>13072</v>
      </c>
      <c r="V955" t="s">
        <v>13073</v>
      </c>
      <c r="W955" t="s">
        <v>13074</v>
      </c>
      <c r="X955" t="s">
        <v>13075</v>
      </c>
      <c r="Y955" t="s">
        <v>13076</v>
      </c>
      <c r="Z955" t="s">
        <v>13077</v>
      </c>
      <c r="AA955" t="s">
        <v>13078</v>
      </c>
      <c r="AB955" t="s">
        <v>13079</v>
      </c>
      <c r="AC955" t="s">
        <v>74</v>
      </c>
      <c r="AD955" t="s">
        <v>74</v>
      </c>
      <c r="AE955" t="s">
        <v>74</v>
      </c>
      <c r="AF955" t="s">
        <v>74</v>
      </c>
      <c r="AG955">
        <v>100</v>
      </c>
      <c r="AH955">
        <v>156</v>
      </c>
      <c r="AI955">
        <v>171</v>
      </c>
      <c r="AJ955">
        <v>0</v>
      </c>
      <c r="AK955">
        <v>7</v>
      </c>
      <c r="AL955" t="s">
        <v>9008</v>
      </c>
      <c r="AM955" t="s">
        <v>1168</v>
      </c>
      <c r="AN955" t="s">
        <v>9009</v>
      </c>
      <c r="AO955" t="s">
        <v>9010</v>
      </c>
      <c r="AP955" t="s">
        <v>74</v>
      </c>
      <c r="AQ955" t="s">
        <v>74</v>
      </c>
      <c r="AR955" t="s">
        <v>9011</v>
      </c>
      <c r="AS955" t="s">
        <v>9012</v>
      </c>
      <c r="AT955" t="s">
        <v>12719</v>
      </c>
      <c r="AU955">
        <v>2002</v>
      </c>
      <c r="AV955">
        <v>32</v>
      </c>
      <c r="AW955">
        <v>3</v>
      </c>
      <c r="AX955" t="s">
        <v>74</v>
      </c>
      <c r="AY955" t="s">
        <v>74</v>
      </c>
      <c r="AZ955" t="s">
        <v>74</v>
      </c>
      <c r="BA955" t="s">
        <v>74</v>
      </c>
      <c r="BB955">
        <v>252</v>
      </c>
      <c r="BC955">
        <v>273</v>
      </c>
      <c r="BD955" t="s">
        <v>74</v>
      </c>
      <c r="BE955" t="s">
        <v>13080</v>
      </c>
      <c r="BF955" t="str">
        <f>HYPERLINK("http://dx.doi.org/10.2113/32.3.252","http://dx.doi.org/10.2113/32.3.252")</f>
        <v>http://dx.doi.org/10.2113/32.3.252</v>
      </c>
      <c r="BG955" t="s">
        <v>74</v>
      </c>
      <c r="BH955" t="s">
        <v>74</v>
      </c>
      <c r="BI955">
        <v>22</v>
      </c>
      <c r="BJ955" t="s">
        <v>3069</v>
      </c>
      <c r="BK955" t="s">
        <v>569</v>
      </c>
      <c r="BL955" t="s">
        <v>3069</v>
      </c>
      <c r="BM955" t="s">
        <v>13081</v>
      </c>
      <c r="BN955" t="s">
        <v>74</v>
      </c>
      <c r="BO955" t="s">
        <v>74</v>
      </c>
      <c r="BP955" t="s">
        <v>74</v>
      </c>
      <c r="BQ955" t="s">
        <v>74</v>
      </c>
      <c r="BR955" t="s">
        <v>98</v>
      </c>
      <c r="BS955" t="s">
        <v>13082</v>
      </c>
      <c r="BT955" t="str">
        <f>HYPERLINK("https%3A%2F%2Fwww.webofscience.com%2Fwos%2Fwoscc%2Ffull-record%2FWOS:000177140600004","View Full Record in Web of Science")</f>
        <v>View Full Record in Web of Science</v>
      </c>
    </row>
    <row r="956" spans="1:72" x14ac:dyDescent="0.15">
      <c r="A956" t="s">
        <v>552</v>
      </c>
      <c r="B956" t="s">
        <v>13083</v>
      </c>
      <c r="C956" t="s">
        <v>74</v>
      </c>
      <c r="D956" t="s">
        <v>74</v>
      </c>
      <c r="E956" t="s">
        <v>74</v>
      </c>
      <c r="F956" t="s">
        <v>13083</v>
      </c>
      <c r="G956" t="s">
        <v>74</v>
      </c>
      <c r="H956" t="s">
        <v>74</v>
      </c>
      <c r="I956" t="s">
        <v>13084</v>
      </c>
      <c r="J956" t="s">
        <v>9000</v>
      </c>
      <c r="K956" t="s">
        <v>74</v>
      </c>
      <c r="L956" t="s">
        <v>74</v>
      </c>
      <c r="M956" t="s">
        <v>78</v>
      </c>
      <c r="N956" t="s">
        <v>775</v>
      </c>
      <c r="O956" t="s">
        <v>74</v>
      </c>
      <c r="P956" t="s">
        <v>74</v>
      </c>
      <c r="Q956" t="s">
        <v>74</v>
      </c>
      <c r="R956" t="s">
        <v>74</v>
      </c>
      <c r="S956" t="s">
        <v>74</v>
      </c>
      <c r="T956" t="s">
        <v>74</v>
      </c>
      <c r="U956" t="s">
        <v>13085</v>
      </c>
      <c r="V956" t="s">
        <v>13086</v>
      </c>
      <c r="W956" t="s">
        <v>13087</v>
      </c>
      <c r="X956" t="s">
        <v>74</v>
      </c>
      <c r="Y956" t="s">
        <v>13088</v>
      </c>
      <c r="Z956" t="s">
        <v>13089</v>
      </c>
      <c r="AA956" t="s">
        <v>74</v>
      </c>
      <c r="AB956" t="s">
        <v>74</v>
      </c>
      <c r="AC956" t="s">
        <v>74</v>
      </c>
      <c r="AD956" t="s">
        <v>74</v>
      </c>
      <c r="AE956" t="s">
        <v>74</v>
      </c>
      <c r="AF956" t="s">
        <v>74</v>
      </c>
      <c r="AG956">
        <v>42</v>
      </c>
      <c r="AH956">
        <v>4</v>
      </c>
      <c r="AI956">
        <v>6</v>
      </c>
      <c r="AJ956">
        <v>0</v>
      </c>
      <c r="AK956">
        <v>2</v>
      </c>
      <c r="AL956" t="s">
        <v>13090</v>
      </c>
      <c r="AM956" t="s">
        <v>3784</v>
      </c>
      <c r="AN956" t="s">
        <v>13091</v>
      </c>
      <c r="AO956" t="s">
        <v>9010</v>
      </c>
      <c r="AP956" t="s">
        <v>74</v>
      </c>
      <c r="AQ956" t="s">
        <v>74</v>
      </c>
      <c r="AR956" t="s">
        <v>9011</v>
      </c>
      <c r="AS956" t="s">
        <v>9012</v>
      </c>
      <c r="AT956" t="s">
        <v>12719</v>
      </c>
      <c r="AU956">
        <v>2002</v>
      </c>
      <c r="AV956">
        <v>32</v>
      </c>
      <c r="AW956">
        <v>3</v>
      </c>
      <c r="AX956" t="s">
        <v>74</v>
      </c>
      <c r="AY956" t="s">
        <v>74</v>
      </c>
      <c r="AZ956" t="s">
        <v>74</v>
      </c>
      <c r="BA956" t="s">
        <v>74</v>
      </c>
      <c r="BB956">
        <v>308</v>
      </c>
      <c r="BC956">
        <v>318</v>
      </c>
      <c r="BD956" t="s">
        <v>74</v>
      </c>
      <c r="BE956" t="s">
        <v>13092</v>
      </c>
      <c r="BF956" t="str">
        <f>HYPERLINK("http://dx.doi.org/10.2113/32.3.308","http://dx.doi.org/10.2113/32.3.308")</f>
        <v>http://dx.doi.org/10.2113/32.3.308</v>
      </c>
      <c r="BG956" t="s">
        <v>74</v>
      </c>
      <c r="BH956" t="s">
        <v>74</v>
      </c>
      <c r="BI956">
        <v>11</v>
      </c>
      <c r="BJ956" t="s">
        <v>3069</v>
      </c>
      <c r="BK956" t="s">
        <v>569</v>
      </c>
      <c r="BL956" t="s">
        <v>3069</v>
      </c>
      <c r="BM956" t="s">
        <v>13081</v>
      </c>
      <c r="BN956" t="s">
        <v>74</v>
      </c>
      <c r="BO956" t="s">
        <v>74</v>
      </c>
      <c r="BP956" t="s">
        <v>74</v>
      </c>
      <c r="BQ956" t="s">
        <v>74</v>
      </c>
      <c r="BR956" t="s">
        <v>98</v>
      </c>
      <c r="BS956" t="s">
        <v>13093</v>
      </c>
      <c r="BT956" t="str">
        <f>HYPERLINK("https%3A%2F%2Fwww.webofscience.com%2Fwos%2Fwoscc%2Ffull-record%2FWOS:000177140600006","View Full Record in Web of Science")</f>
        <v>View Full Record in Web of Science</v>
      </c>
    </row>
    <row r="957" spans="1:72" x14ac:dyDescent="0.15">
      <c r="A957" t="s">
        <v>552</v>
      </c>
      <c r="B957" t="s">
        <v>13094</v>
      </c>
      <c r="C957" t="s">
        <v>74</v>
      </c>
      <c r="D957" t="s">
        <v>74</v>
      </c>
      <c r="E957" t="s">
        <v>74</v>
      </c>
      <c r="F957" t="s">
        <v>13094</v>
      </c>
      <c r="G957" t="s">
        <v>74</v>
      </c>
      <c r="H957" t="s">
        <v>74</v>
      </c>
      <c r="I957" t="s">
        <v>13095</v>
      </c>
      <c r="J957" t="s">
        <v>13096</v>
      </c>
      <c r="K957" t="s">
        <v>74</v>
      </c>
      <c r="L957" t="s">
        <v>74</v>
      </c>
      <c r="M957" t="s">
        <v>78</v>
      </c>
      <c r="N957" t="s">
        <v>775</v>
      </c>
      <c r="O957" t="s">
        <v>74</v>
      </c>
      <c r="P957" t="s">
        <v>74</v>
      </c>
      <c r="Q957" t="s">
        <v>74</v>
      </c>
      <c r="R957" t="s">
        <v>74</v>
      </c>
      <c r="S957" t="s">
        <v>74</v>
      </c>
      <c r="T957" t="s">
        <v>74</v>
      </c>
      <c r="U957" t="s">
        <v>13097</v>
      </c>
      <c r="V957" t="s">
        <v>13098</v>
      </c>
      <c r="W957" t="s">
        <v>13099</v>
      </c>
      <c r="X957" t="s">
        <v>13100</v>
      </c>
      <c r="Y957" t="s">
        <v>13101</v>
      </c>
      <c r="Z957" t="s">
        <v>74</v>
      </c>
      <c r="AA957" t="s">
        <v>13102</v>
      </c>
      <c r="AB957" t="s">
        <v>13103</v>
      </c>
      <c r="AC957" t="s">
        <v>74</v>
      </c>
      <c r="AD957" t="s">
        <v>74</v>
      </c>
      <c r="AE957" t="s">
        <v>74</v>
      </c>
      <c r="AF957" t="s">
        <v>74</v>
      </c>
      <c r="AG957">
        <v>66</v>
      </c>
      <c r="AH957">
        <v>148</v>
      </c>
      <c r="AI957">
        <v>158</v>
      </c>
      <c r="AJ957">
        <v>0</v>
      </c>
      <c r="AK957">
        <v>10</v>
      </c>
      <c r="AL957" t="s">
        <v>4419</v>
      </c>
      <c r="AM957" t="s">
        <v>4420</v>
      </c>
      <c r="AN957" t="s">
        <v>4421</v>
      </c>
      <c r="AO957" t="s">
        <v>13104</v>
      </c>
      <c r="AP957" t="s">
        <v>74</v>
      </c>
      <c r="AQ957" t="s">
        <v>74</v>
      </c>
      <c r="AR957" t="s">
        <v>13105</v>
      </c>
      <c r="AS957" t="s">
        <v>13106</v>
      </c>
      <c r="AT957" t="s">
        <v>12719</v>
      </c>
      <c r="AU957">
        <v>2002</v>
      </c>
      <c r="AV957">
        <v>110</v>
      </c>
      <c r="AW957">
        <v>4</v>
      </c>
      <c r="AX957" t="s">
        <v>74</v>
      </c>
      <c r="AY957" t="s">
        <v>74</v>
      </c>
      <c r="AZ957" t="s">
        <v>74</v>
      </c>
      <c r="BA957" t="s">
        <v>74</v>
      </c>
      <c r="BB957">
        <v>393</v>
      </c>
      <c r="BC957">
        <v>406</v>
      </c>
      <c r="BD957" t="s">
        <v>74</v>
      </c>
      <c r="BE957" t="s">
        <v>13107</v>
      </c>
      <c r="BF957" t="str">
        <f>HYPERLINK("http://dx.doi.org/10.1086/340629","http://dx.doi.org/10.1086/340629")</f>
        <v>http://dx.doi.org/10.1086/340629</v>
      </c>
      <c r="BG957" t="s">
        <v>74</v>
      </c>
      <c r="BH957" t="s">
        <v>74</v>
      </c>
      <c r="BI957">
        <v>14</v>
      </c>
      <c r="BJ957" t="s">
        <v>1814</v>
      </c>
      <c r="BK957" t="s">
        <v>569</v>
      </c>
      <c r="BL957" t="s">
        <v>1814</v>
      </c>
      <c r="BM957" t="s">
        <v>13108</v>
      </c>
      <c r="BN957" t="s">
        <v>74</v>
      </c>
      <c r="BO957" t="s">
        <v>74</v>
      </c>
      <c r="BP957" t="s">
        <v>74</v>
      </c>
      <c r="BQ957" t="s">
        <v>74</v>
      </c>
      <c r="BR957" t="s">
        <v>98</v>
      </c>
      <c r="BS957" t="s">
        <v>13109</v>
      </c>
      <c r="BT957" t="str">
        <f>HYPERLINK("https%3A%2F%2Fwww.webofscience.com%2Fwos%2Fwoscc%2Ffull-record%2FWOS:000175941200002","View Full Record in Web of Science")</f>
        <v>View Full Record in Web of Science</v>
      </c>
    </row>
    <row r="958" spans="1:72" x14ac:dyDescent="0.15">
      <c r="A958" t="s">
        <v>552</v>
      </c>
      <c r="B958" t="s">
        <v>13110</v>
      </c>
      <c r="C958" t="s">
        <v>74</v>
      </c>
      <c r="D958" t="s">
        <v>74</v>
      </c>
      <c r="E958" t="s">
        <v>74</v>
      </c>
      <c r="F958" t="s">
        <v>13110</v>
      </c>
      <c r="G958" t="s">
        <v>74</v>
      </c>
      <c r="H958" t="s">
        <v>74</v>
      </c>
      <c r="I958" t="s">
        <v>13111</v>
      </c>
      <c r="J958" t="s">
        <v>5091</v>
      </c>
      <c r="K958" t="s">
        <v>74</v>
      </c>
      <c r="L958" t="s">
        <v>74</v>
      </c>
      <c r="M958" t="s">
        <v>78</v>
      </c>
      <c r="N958" t="s">
        <v>775</v>
      </c>
      <c r="O958" t="s">
        <v>74</v>
      </c>
      <c r="P958" t="s">
        <v>74</v>
      </c>
      <c r="Q958" t="s">
        <v>74</v>
      </c>
      <c r="R958" t="s">
        <v>74</v>
      </c>
      <c r="S958" t="s">
        <v>74</v>
      </c>
      <c r="T958" t="s">
        <v>13112</v>
      </c>
      <c r="U958" t="s">
        <v>13113</v>
      </c>
      <c r="V958" t="s">
        <v>13114</v>
      </c>
      <c r="W958" t="s">
        <v>13115</v>
      </c>
      <c r="X958" t="s">
        <v>13116</v>
      </c>
      <c r="Y958" t="s">
        <v>13117</v>
      </c>
      <c r="Z958" t="s">
        <v>13118</v>
      </c>
      <c r="AA958" t="s">
        <v>13119</v>
      </c>
      <c r="AB958" t="s">
        <v>13120</v>
      </c>
      <c r="AC958" t="s">
        <v>74</v>
      </c>
      <c r="AD958" t="s">
        <v>74</v>
      </c>
      <c r="AE958" t="s">
        <v>74</v>
      </c>
      <c r="AF958" t="s">
        <v>74</v>
      </c>
      <c r="AG958">
        <v>22</v>
      </c>
      <c r="AH958">
        <v>7</v>
      </c>
      <c r="AI958">
        <v>7</v>
      </c>
      <c r="AJ958">
        <v>0</v>
      </c>
      <c r="AK958">
        <v>4</v>
      </c>
      <c r="AL958" t="s">
        <v>387</v>
      </c>
      <c r="AM958" t="s">
        <v>388</v>
      </c>
      <c r="AN958" t="s">
        <v>389</v>
      </c>
      <c r="AO958" t="s">
        <v>5101</v>
      </c>
      <c r="AP958" t="s">
        <v>5188</v>
      </c>
      <c r="AQ958" t="s">
        <v>74</v>
      </c>
      <c r="AR958" t="s">
        <v>5102</v>
      </c>
      <c r="AS958" t="s">
        <v>5103</v>
      </c>
      <c r="AT958" t="s">
        <v>12719</v>
      </c>
      <c r="AU958">
        <v>2002</v>
      </c>
      <c r="AV958">
        <v>107</v>
      </c>
      <c r="AW958" t="s">
        <v>13121</v>
      </c>
      <c r="AX958" t="s">
        <v>74</v>
      </c>
      <c r="AY958" t="s">
        <v>74</v>
      </c>
      <c r="AZ958" t="s">
        <v>74</v>
      </c>
      <c r="BA958" t="s">
        <v>74</v>
      </c>
      <c r="BB958" t="s">
        <v>74</v>
      </c>
      <c r="BC958" t="s">
        <v>74</v>
      </c>
      <c r="BD958">
        <v>4216</v>
      </c>
      <c r="BE958" t="s">
        <v>13122</v>
      </c>
      <c r="BF958" t="str">
        <f>HYPERLINK("http://dx.doi.org/10.1029/2001JD000737","http://dx.doi.org/10.1029/2001JD000737")</f>
        <v>http://dx.doi.org/10.1029/2001JD000737</v>
      </c>
      <c r="BG958" t="s">
        <v>74</v>
      </c>
      <c r="BH958" t="s">
        <v>74</v>
      </c>
      <c r="BI958">
        <v>11</v>
      </c>
      <c r="BJ958" t="s">
        <v>1237</v>
      </c>
      <c r="BK958" t="s">
        <v>569</v>
      </c>
      <c r="BL958" t="s">
        <v>1237</v>
      </c>
      <c r="BM958" t="s">
        <v>13123</v>
      </c>
      <c r="BN958" t="s">
        <v>74</v>
      </c>
      <c r="BO958" t="s">
        <v>794</v>
      </c>
      <c r="BP958" t="s">
        <v>74</v>
      </c>
      <c r="BQ958" t="s">
        <v>74</v>
      </c>
      <c r="BR958" t="s">
        <v>98</v>
      </c>
      <c r="BS958" t="s">
        <v>13124</v>
      </c>
      <c r="BT958" t="str">
        <f>HYPERLINK("https%3A%2F%2Fwww.webofscience.com%2Fwos%2Fwoscc%2Ffull-record%2FWOS:000178977300013","View Full Record in Web of Science")</f>
        <v>View Full Record in Web of Science</v>
      </c>
    </row>
    <row r="959" spans="1:72" x14ac:dyDescent="0.15">
      <c r="A959" t="s">
        <v>552</v>
      </c>
      <c r="B959" t="s">
        <v>13125</v>
      </c>
      <c r="C959" t="s">
        <v>74</v>
      </c>
      <c r="D959" t="s">
        <v>74</v>
      </c>
      <c r="E959" t="s">
        <v>74</v>
      </c>
      <c r="F959" t="s">
        <v>13125</v>
      </c>
      <c r="G959" t="s">
        <v>74</v>
      </c>
      <c r="H959" t="s">
        <v>74</v>
      </c>
      <c r="I959" t="s">
        <v>13126</v>
      </c>
      <c r="J959" t="s">
        <v>5091</v>
      </c>
      <c r="K959" t="s">
        <v>74</v>
      </c>
      <c r="L959" t="s">
        <v>74</v>
      </c>
      <c r="M959" t="s">
        <v>78</v>
      </c>
      <c r="N959" t="s">
        <v>775</v>
      </c>
      <c r="O959" t="s">
        <v>74</v>
      </c>
      <c r="P959" t="s">
        <v>74</v>
      </c>
      <c r="Q959" t="s">
        <v>74</v>
      </c>
      <c r="R959" t="s">
        <v>74</v>
      </c>
      <c r="S959" t="s">
        <v>74</v>
      </c>
      <c r="T959" t="s">
        <v>74</v>
      </c>
      <c r="U959" t="s">
        <v>13127</v>
      </c>
      <c r="V959" t="s">
        <v>13128</v>
      </c>
      <c r="W959" t="s">
        <v>13129</v>
      </c>
      <c r="X959" t="s">
        <v>13130</v>
      </c>
      <c r="Y959" t="s">
        <v>13131</v>
      </c>
      <c r="Z959" t="s">
        <v>13132</v>
      </c>
      <c r="AA959" t="s">
        <v>74</v>
      </c>
      <c r="AB959" t="s">
        <v>74</v>
      </c>
      <c r="AC959" t="s">
        <v>74</v>
      </c>
      <c r="AD959" t="s">
        <v>74</v>
      </c>
      <c r="AE959" t="s">
        <v>74</v>
      </c>
      <c r="AF959" t="s">
        <v>74</v>
      </c>
      <c r="AG959">
        <v>35</v>
      </c>
      <c r="AH959">
        <v>41</v>
      </c>
      <c r="AI959">
        <v>43</v>
      </c>
      <c r="AJ959">
        <v>0</v>
      </c>
      <c r="AK959">
        <v>2</v>
      </c>
      <c r="AL959" t="s">
        <v>387</v>
      </c>
      <c r="AM959" t="s">
        <v>388</v>
      </c>
      <c r="AN959" t="s">
        <v>389</v>
      </c>
      <c r="AO959" t="s">
        <v>5101</v>
      </c>
      <c r="AP959" t="s">
        <v>5188</v>
      </c>
      <c r="AQ959" t="s">
        <v>74</v>
      </c>
      <c r="AR959" t="s">
        <v>5102</v>
      </c>
      <c r="AS959" t="s">
        <v>5103</v>
      </c>
      <c r="AT959" t="s">
        <v>12719</v>
      </c>
      <c r="AU959">
        <v>2002</v>
      </c>
      <c r="AV959">
        <v>107</v>
      </c>
      <c r="AW959" t="s">
        <v>13133</v>
      </c>
      <c r="AX959" t="s">
        <v>74</v>
      </c>
      <c r="AY959" t="s">
        <v>74</v>
      </c>
      <c r="AZ959" t="s">
        <v>74</v>
      </c>
      <c r="BA959" t="s">
        <v>74</v>
      </c>
      <c r="BB959" t="s">
        <v>74</v>
      </c>
      <c r="BC959" t="s">
        <v>74</v>
      </c>
      <c r="BD959">
        <v>4165</v>
      </c>
      <c r="BE959" t="s">
        <v>13134</v>
      </c>
      <c r="BF959" t="str">
        <f>HYPERLINK("http://dx.doi.org/10.1029/2001JD001206","http://dx.doi.org/10.1029/2001JD001206")</f>
        <v>http://dx.doi.org/10.1029/2001JD001206</v>
      </c>
      <c r="BG959" t="s">
        <v>74</v>
      </c>
      <c r="BH959" t="s">
        <v>74</v>
      </c>
      <c r="BI959">
        <v>10</v>
      </c>
      <c r="BJ959" t="s">
        <v>1237</v>
      </c>
      <c r="BK959" t="s">
        <v>569</v>
      </c>
      <c r="BL959" t="s">
        <v>1237</v>
      </c>
      <c r="BM959" t="s">
        <v>13135</v>
      </c>
      <c r="BN959" t="s">
        <v>74</v>
      </c>
      <c r="BO959" t="s">
        <v>572</v>
      </c>
      <c r="BP959" t="s">
        <v>74</v>
      </c>
      <c r="BQ959" t="s">
        <v>74</v>
      </c>
      <c r="BR959" t="s">
        <v>98</v>
      </c>
      <c r="BS959" t="s">
        <v>13136</v>
      </c>
      <c r="BT959" t="str">
        <f>HYPERLINK("https%3A%2F%2Fwww.webofscience.com%2Fwos%2Fwoscc%2Ffull-record%2FWOS:000178977100020","View Full Record in Web of Science")</f>
        <v>View Full Record in Web of Science</v>
      </c>
    </row>
    <row r="960" spans="1:72" x14ac:dyDescent="0.15">
      <c r="A960" t="s">
        <v>552</v>
      </c>
      <c r="B960" t="s">
        <v>13137</v>
      </c>
      <c r="C960" t="s">
        <v>74</v>
      </c>
      <c r="D960" t="s">
        <v>74</v>
      </c>
      <c r="E960" t="s">
        <v>74</v>
      </c>
      <c r="F960" t="s">
        <v>13137</v>
      </c>
      <c r="G960" t="s">
        <v>74</v>
      </c>
      <c r="H960" t="s">
        <v>74</v>
      </c>
      <c r="I960" t="s">
        <v>13138</v>
      </c>
      <c r="J960" t="s">
        <v>5091</v>
      </c>
      <c r="K960" t="s">
        <v>74</v>
      </c>
      <c r="L960" t="s">
        <v>74</v>
      </c>
      <c r="M960" t="s">
        <v>78</v>
      </c>
      <c r="N960" t="s">
        <v>775</v>
      </c>
      <c r="O960" t="s">
        <v>74</v>
      </c>
      <c r="P960" t="s">
        <v>74</v>
      </c>
      <c r="Q960" t="s">
        <v>74</v>
      </c>
      <c r="R960" t="s">
        <v>74</v>
      </c>
      <c r="S960" t="s">
        <v>74</v>
      </c>
      <c r="T960" t="s">
        <v>13139</v>
      </c>
      <c r="U960" t="s">
        <v>13140</v>
      </c>
      <c r="V960" t="s">
        <v>13141</v>
      </c>
      <c r="W960" t="s">
        <v>13142</v>
      </c>
      <c r="X960" t="s">
        <v>13143</v>
      </c>
      <c r="Y960" t="s">
        <v>13144</v>
      </c>
      <c r="Z960" t="s">
        <v>74</v>
      </c>
      <c r="AA960" t="s">
        <v>13145</v>
      </c>
      <c r="AB960" t="s">
        <v>13146</v>
      </c>
      <c r="AC960" t="s">
        <v>74</v>
      </c>
      <c r="AD960" t="s">
        <v>74</v>
      </c>
      <c r="AE960" t="s">
        <v>74</v>
      </c>
      <c r="AF960" t="s">
        <v>74</v>
      </c>
      <c r="AG960">
        <v>89</v>
      </c>
      <c r="AH960">
        <v>14</v>
      </c>
      <c r="AI960">
        <v>16</v>
      </c>
      <c r="AJ960">
        <v>0</v>
      </c>
      <c r="AK960">
        <v>6</v>
      </c>
      <c r="AL960" t="s">
        <v>387</v>
      </c>
      <c r="AM960" t="s">
        <v>388</v>
      </c>
      <c r="AN960" t="s">
        <v>389</v>
      </c>
      <c r="AO960" t="s">
        <v>10382</v>
      </c>
      <c r="AP960" t="s">
        <v>74</v>
      </c>
      <c r="AQ960" t="s">
        <v>74</v>
      </c>
      <c r="AR960" t="s">
        <v>5102</v>
      </c>
      <c r="AS960" t="s">
        <v>5103</v>
      </c>
      <c r="AT960" t="s">
        <v>12719</v>
      </c>
      <c r="AU960">
        <v>2002</v>
      </c>
      <c r="AV960">
        <v>107</v>
      </c>
      <c r="AW960" t="s">
        <v>13121</v>
      </c>
      <c r="AX960" t="s">
        <v>74</v>
      </c>
      <c r="AY960" t="s">
        <v>74</v>
      </c>
      <c r="AZ960" t="s">
        <v>74</v>
      </c>
      <c r="BA960" t="s">
        <v>74</v>
      </c>
      <c r="BB960" t="s">
        <v>74</v>
      </c>
      <c r="BC960" t="s">
        <v>74</v>
      </c>
      <c r="BD960">
        <v>4208</v>
      </c>
      <c r="BE960" t="s">
        <v>13147</v>
      </c>
      <c r="BF960" t="str">
        <f>HYPERLINK("http://dx.doi.org/10.1029/2001JD001130","http://dx.doi.org/10.1029/2001JD001130")</f>
        <v>http://dx.doi.org/10.1029/2001JD001130</v>
      </c>
      <c r="BG960" t="s">
        <v>74</v>
      </c>
      <c r="BH960" t="s">
        <v>74</v>
      </c>
      <c r="BI960">
        <v>18</v>
      </c>
      <c r="BJ960" t="s">
        <v>1237</v>
      </c>
      <c r="BK960" t="s">
        <v>569</v>
      </c>
      <c r="BL960" t="s">
        <v>1237</v>
      </c>
      <c r="BM960" t="s">
        <v>13123</v>
      </c>
      <c r="BN960" t="s">
        <v>74</v>
      </c>
      <c r="BO960" t="s">
        <v>572</v>
      </c>
      <c r="BP960" t="s">
        <v>74</v>
      </c>
      <c r="BQ960" t="s">
        <v>74</v>
      </c>
      <c r="BR960" t="s">
        <v>98</v>
      </c>
      <c r="BS960" t="s">
        <v>13148</v>
      </c>
      <c r="BT960" t="str">
        <f>HYPERLINK("https%3A%2F%2Fwww.webofscience.com%2Fwos%2Fwoscc%2Ffull-record%2FWOS:000178977300021","View Full Record in Web of Science")</f>
        <v>View Full Record in Web of Science</v>
      </c>
    </row>
    <row r="961" spans="1:72" x14ac:dyDescent="0.15">
      <c r="A961" t="s">
        <v>552</v>
      </c>
      <c r="B961" t="s">
        <v>13149</v>
      </c>
      <c r="C961" t="s">
        <v>74</v>
      </c>
      <c r="D961" t="s">
        <v>74</v>
      </c>
      <c r="E961" t="s">
        <v>74</v>
      </c>
      <c r="F961" t="s">
        <v>13149</v>
      </c>
      <c r="G961" t="s">
        <v>74</v>
      </c>
      <c r="H961" t="s">
        <v>74</v>
      </c>
      <c r="I961" t="s">
        <v>13150</v>
      </c>
      <c r="J961" t="s">
        <v>5091</v>
      </c>
      <c r="K961" t="s">
        <v>74</v>
      </c>
      <c r="L961" t="s">
        <v>74</v>
      </c>
      <c r="M961" t="s">
        <v>78</v>
      </c>
      <c r="N961" t="s">
        <v>775</v>
      </c>
      <c r="O961" t="s">
        <v>74</v>
      </c>
      <c r="P961" t="s">
        <v>74</v>
      </c>
      <c r="Q961" t="s">
        <v>74</v>
      </c>
      <c r="R961" t="s">
        <v>74</v>
      </c>
      <c r="S961" t="s">
        <v>74</v>
      </c>
      <c r="T961" t="s">
        <v>13151</v>
      </c>
      <c r="U961" t="s">
        <v>13152</v>
      </c>
      <c r="V961" t="s">
        <v>13153</v>
      </c>
      <c r="W961" t="s">
        <v>238</v>
      </c>
      <c r="X961" t="s">
        <v>239</v>
      </c>
      <c r="Y961" t="s">
        <v>489</v>
      </c>
      <c r="Z961" t="s">
        <v>13154</v>
      </c>
      <c r="AA961" t="s">
        <v>13155</v>
      </c>
      <c r="AB961" t="s">
        <v>13156</v>
      </c>
      <c r="AC961" t="s">
        <v>74</v>
      </c>
      <c r="AD961" t="s">
        <v>74</v>
      </c>
      <c r="AE961" t="s">
        <v>74</v>
      </c>
      <c r="AF961" t="s">
        <v>74</v>
      </c>
      <c r="AG961">
        <v>53</v>
      </c>
      <c r="AH961">
        <v>61</v>
      </c>
      <c r="AI961">
        <v>66</v>
      </c>
      <c r="AJ961">
        <v>0</v>
      </c>
      <c r="AK961">
        <v>12</v>
      </c>
      <c r="AL961" t="s">
        <v>387</v>
      </c>
      <c r="AM961" t="s">
        <v>388</v>
      </c>
      <c r="AN961" t="s">
        <v>389</v>
      </c>
      <c r="AO961" t="s">
        <v>5101</v>
      </c>
      <c r="AP961" t="s">
        <v>5188</v>
      </c>
      <c r="AQ961" t="s">
        <v>74</v>
      </c>
      <c r="AR961" t="s">
        <v>5102</v>
      </c>
      <c r="AS961" t="s">
        <v>5103</v>
      </c>
      <c r="AT961" t="s">
        <v>12719</v>
      </c>
      <c r="AU961">
        <v>2002</v>
      </c>
      <c r="AV961">
        <v>107</v>
      </c>
      <c r="AW961" t="s">
        <v>13133</v>
      </c>
      <c r="AX961" t="s">
        <v>74</v>
      </c>
      <c r="AY961" t="s">
        <v>74</v>
      </c>
      <c r="AZ961" t="s">
        <v>74</v>
      </c>
      <c r="BA961" t="s">
        <v>74</v>
      </c>
      <c r="BB961" t="s">
        <v>74</v>
      </c>
      <c r="BC961" t="s">
        <v>74</v>
      </c>
      <c r="BD961">
        <v>4173</v>
      </c>
      <c r="BE961" t="s">
        <v>13157</v>
      </c>
      <c r="BF961" t="str">
        <f>HYPERLINK("http://dx.doi.org/10.1029/2001JD000755","http://dx.doi.org/10.1029/2001JD000755")</f>
        <v>http://dx.doi.org/10.1029/2001JD000755</v>
      </c>
      <c r="BG961" t="s">
        <v>74</v>
      </c>
      <c r="BH961" t="s">
        <v>74</v>
      </c>
      <c r="BI961">
        <v>18</v>
      </c>
      <c r="BJ961" t="s">
        <v>1237</v>
      </c>
      <c r="BK961" t="s">
        <v>569</v>
      </c>
      <c r="BL961" t="s">
        <v>1237</v>
      </c>
      <c r="BM961" t="s">
        <v>13135</v>
      </c>
      <c r="BN961" t="s">
        <v>74</v>
      </c>
      <c r="BO961" t="s">
        <v>572</v>
      </c>
      <c r="BP961" t="s">
        <v>74</v>
      </c>
      <c r="BQ961" t="s">
        <v>74</v>
      </c>
      <c r="BR961" t="s">
        <v>98</v>
      </c>
      <c r="BS961" t="s">
        <v>13158</v>
      </c>
      <c r="BT961" t="str">
        <f>HYPERLINK("https%3A%2F%2Fwww.webofscience.com%2Fwos%2Fwoscc%2Ffull-record%2FWOS:000178977100012","View Full Record in Web of Science")</f>
        <v>View Full Record in Web of Science</v>
      </c>
    </row>
    <row r="962" spans="1:72" x14ac:dyDescent="0.15">
      <c r="A962" t="s">
        <v>552</v>
      </c>
      <c r="B962" t="s">
        <v>13159</v>
      </c>
      <c r="C962" t="s">
        <v>74</v>
      </c>
      <c r="D962" t="s">
        <v>74</v>
      </c>
      <c r="E962" t="s">
        <v>74</v>
      </c>
      <c r="F962" t="s">
        <v>13159</v>
      </c>
      <c r="G962" t="s">
        <v>74</v>
      </c>
      <c r="H962" t="s">
        <v>74</v>
      </c>
      <c r="I962" t="s">
        <v>13160</v>
      </c>
      <c r="J962" t="s">
        <v>5111</v>
      </c>
      <c r="K962" t="s">
        <v>74</v>
      </c>
      <c r="L962" t="s">
        <v>74</v>
      </c>
      <c r="M962" t="s">
        <v>78</v>
      </c>
      <c r="N962" t="s">
        <v>775</v>
      </c>
      <c r="O962" t="s">
        <v>74</v>
      </c>
      <c r="P962" t="s">
        <v>74</v>
      </c>
      <c r="Q962" t="s">
        <v>74</v>
      </c>
      <c r="R962" t="s">
        <v>74</v>
      </c>
      <c r="S962" t="s">
        <v>74</v>
      </c>
      <c r="T962" t="s">
        <v>13161</v>
      </c>
      <c r="U962" t="s">
        <v>13162</v>
      </c>
      <c r="V962" t="s">
        <v>13163</v>
      </c>
      <c r="W962" t="s">
        <v>2931</v>
      </c>
      <c r="X962" t="s">
        <v>1694</v>
      </c>
      <c r="Y962" t="s">
        <v>13164</v>
      </c>
      <c r="Z962" t="s">
        <v>13165</v>
      </c>
      <c r="AA962" t="s">
        <v>74</v>
      </c>
      <c r="AB962" t="s">
        <v>74</v>
      </c>
      <c r="AC962" t="s">
        <v>74</v>
      </c>
      <c r="AD962" t="s">
        <v>74</v>
      </c>
      <c r="AE962" t="s">
        <v>74</v>
      </c>
      <c r="AF962" t="s">
        <v>74</v>
      </c>
      <c r="AG962">
        <v>54</v>
      </c>
      <c r="AH962">
        <v>13</v>
      </c>
      <c r="AI962">
        <v>13</v>
      </c>
      <c r="AJ962">
        <v>0</v>
      </c>
      <c r="AK962">
        <v>5</v>
      </c>
      <c r="AL962" t="s">
        <v>387</v>
      </c>
      <c r="AM962" t="s">
        <v>388</v>
      </c>
      <c r="AN962" t="s">
        <v>389</v>
      </c>
      <c r="AO962" t="s">
        <v>5120</v>
      </c>
      <c r="AP962" t="s">
        <v>5121</v>
      </c>
      <c r="AQ962" t="s">
        <v>74</v>
      </c>
      <c r="AR962" t="s">
        <v>5122</v>
      </c>
      <c r="AS962" t="s">
        <v>5123</v>
      </c>
      <c r="AT962" t="s">
        <v>12719</v>
      </c>
      <c r="AU962">
        <v>2002</v>
      </c>
      <c r="AV962">
        <v>107</v>
      </c>
      <c r="AW962" t="s">
        <v>13166</v>
      </c>
      <c r="AX962" t="s">
        <v>74</v>
      </c>
      <c r="AY962" t="s">
        <v>74</v>
      </c>
      <c r="AZ962" t="s">
        <v>74</v>
      </c>
      <c r="BA962" t="s">
        <v>74</v>
      </c>
      <c r="BB962" t="s">
        <v>74</v>
      </c>
      <c r="BC962" t="s">
        <v>74</v>
      </c>
      <c r="BD962">
        <v>3077</v>
      </c>
      <c r="BE962" t="s">
        <v>13167</v>
      </c>
      <c r="BF962" t="str">
        <f>HYPERLINK("http://dx.doi.org/10.1029/2000JC000685","http://dx.doi.org/10.1029/2000JC000685")</f>
        <v>http://dx.doi.org/10.1029/2000JC000685</v>
      </c>
      <c r="BG962" t="s">
        <v>74</v>
      </c>
      <c r="BH962" t="s">
        <v>74</v>
      </c>
      <c r="BI962">
        <v>17</v>
      </c>
      <c r="BJ962" t="s">
        <v>1394</v>
      </c>
      <c r="BK962" t="s">
        <v>569</v>
      </c>
      <c r="BL962" t="s">
        <v>1394</v>
      </c>
      <c r="BM962" t="s">
        <v>13168</v>
      </c>
      <c r="BN962" t="s">
        <v>74</v>
      </c>
      <c r="BO962" t="s">
        <v>74</v>
      </c>
      <c r="BP962" t="s">
        <v>74</v>
      </c>
      <c r="BQ962" t="s">
        <v>74</v>
      </c>
      <c r="BR962" t="s">
        <v>98</v>
      </c>
      <c r="BS962" t="s">
        <v>13169</v>
      </c>
      <c r="BT962" t="str">
        <f>HYPERLINK("https%3A%2F%2Fwww.webofscience.com%2Fwos%2Fwoscc%2Ffull-record%2FWOS:000178994700009","View Full Record in Web of Science")</f>
        <v>View Full Record in Web of Science</v>
      </c>
    </row>
    <row r="963" spans="1:72" x14ac:dyDescent="0.15">
      <c r="A963" t="s">
        <v>552</v>
      </c>
      <c r="B963" t="s">
        <v>13170</v>
      </c>
      <c r="C963" t="s">
        <v>74</v>
      </c>
      <c r="D963" t="s">
        <v>74</v>
      </c>
      <c r="E963" t="s">
        <v>74</v>
      </c>
      <c r="F963" t="s">
        <v>13170</v>
      </c>
      <c r="G963" t="s">
        <v>74</v>
      </c>
      <c r="H963" t="s">
        <v>74</v>
      </c>
      <c r="I963" t="s">
        <v>13171</v>
      </c>
      <c r="J963" t="s">
        <v>5495</v>
      </c>
      <c r="K963" t="s">
        <v>74</v>
      </c>
      <c r="L963" t="s">
        <v>74</v>
      </c>
      <c r="M963" t="s">
        <v>78</v>
      </c>
      <c r="N963" t="s">
        <v>775</v>
      </c>
      <c r="O963" t="s">
        <v>74</v>
      </c>
      <c r="P963" t="s">
        <v>74</v>
      </c>
      <c r="Q963" t="s">
        <v>74</v>
      </c>
      <c r="R963" t="s">
        <v>74</v>
      </c>
      <c r="S963" t="s">
        <v>74</v>
      </c>
      <c r="T963" t="s">
        <v>13172</v>
      </c>
      <c r="U963" t="s">
        <v>13173</v>
      </c>
      <c r="V963" t="s">
        <v>13174</v>
      </c>
      <c r="W963" t="s">
        <v>3992</v>
      </c>
      <c r="X963" t="s">
        <v>239</v>
      </c>
      <c r="Y963" t="s">
        <v>13175</v>
      </c>
      <c r="Z963" t="s">
        <v>13176</v>
      </c>
      <c r="AA963" t="s">
        <v>74</v>
      </c>
      <c r="AB963" t="s">
        <v>13177</v>
      </c>
      <c r="AC963" t="s">
        <v>74</v>
      </c>
      <c r="AD963" t="s">
        <v>74</v>
      </c>
      <c r="AE963" t="s">
        <v>74</v>
      </c>
      <c r="AF963" t="s">
        <v>74</v>
      </c>
      <c r="AG963">
        <v>96</v>
      </c>
      <c r="AH963">
        <v>49</v>
      </c>
      <c r="AI963">
        <v>50</v>
      </c>
      <c r="AJ963">
        <v>1</v>
      </c>
      <c r="AK963">
        <v>33</v>
      </c>
      <c r="AL963" t="s">
        <v>387</v>
      </c>
      <c r="AM963" t="s">
        <v>388</v>
      </c>
      <c r="AN963" t="s">
        <v>389</v>
      </c>
      <c r="AO963" t="s">
        <v>5505</v>
      </c>
      <c r="AP963" t="s">
        <v>5506</v>
      </c>
      <c r="AQ963" t="s">
        <v>74</v>
      </c>
      <c r="AR963" t="s">
        <v>5507</v>
      </c>
      <c r="AS963" t="s">
        <v>5508</v>
      </c>
      <c r="AT963" t="s">
        <v>12719</v>
      </c>
      <c r="AU963">
        <v>2002</v>
      </c>
      <c r="AV963">
        <v>107</v>
      </c>
      <c r="AW963" t="s">
        <v>13178</v>
      </c>
      <c r="AX963" t="s">
        <v>74</v>
      </c>
      <c r="AY963" t="s">
        <v>74</v>
      </c>
      <c r="AZ963" t="s">
        <v>74</v>
      </c>
      <c r="BA963" t="s">
        <v>74</v>
      </c>
      <c r="BB963" t="s">
        <v>74</v>
      </c>
      <c r="BC963" t="s">
        <v>74</v>
      </c>
      <c r="BD963">
        <v>2149</v>
      </c>
      <c r="BE963" t="s">
        <v>13179</v>
      </c>
      <c r="BF963" t="str">
        <f>HYPERLINK("http://dx.doi.org/10.1029/2001JB000396","http://dx.doi.org/10.1029/2001JB000396")</f>
        <v>http://dx.doi.org/10.1029/2001JB000396</v>
      </c>
      <c r="BG963" t="s">
        <v>74</v>
      </c>
      <c r="BH963" t="s">
        <v>74</v>
      </c>
      <c r="BI963">
        <v>26</v>
      </c>
      <c r="BJ963" t="s">
        <v>2068</v>
      </c>
      <c r="BK963" t="s">
        <v>569</v>
      </c>
      <c r="BL963" t="s">
        <v>2068</v>
      </c>
      <c r="BM963" t="s">
        <v>13180</v>
      </c>
      <c r="BN963" t="s">
        <v>74</v>
      </c>
      <c r="BO963" t="s">
        <v>572</v>
      </c>
      <c r="BP963" t="s">
        <v>74</v>
      </c>
      <c r="BQ963" t="s">
        <v>74</v>
      </c>
      <c r="BR963" t="s">
        <v>98</v>
      </c>
      <c r="BS963" t="s">
        <v>13181</v>
      </c>
      <c r="BT963" t="str">
        <f>HYPERLINK("https%3A%2F%2Fwww.webofscience.com%2Fwos%2Fwoscc%2Ffull-record%2FWOS:000178991900002","View Full Record in Web of Science")</f>
        <v>View Full Record in Web of Science</v>
      </c>
    </row>
    <row r="964" spans="1:72" x14ac:dyDescent="0.15">
      <c r="A964" t="s">
        <v>552</v>
      </c>
      <c r="B964" t="s">
        <v>13182</v>
      </c>
      <c r="C964" t="s">
        <v>74</v>
      </c>
      <c r="D964" t="s">
        <v>74</v>
      </c>
      <c r="E964" t="s">
        <v>74</v>
      </c>
      <c r="F964" t="s">
        <v>13182</v>
      </c>
      <c r="G964" t="s">
        <v>74</v>
      </c>
      <c r="H964" t="s">
        <v>74</v>
      </c>
      <c r="I964" t="s">
        <v>13183</v>
      </c>
      <c r="J964" t="s">
        <v>5223</v>
      </c>
      <c r="K964" t="s">
        <v>74</v>
      </c>
      <c r="L964" t="s">
        <v>74</v>
      </c>
      <c r="M964" t="s">
        <v>78</v>
      </c>
      <c r="N964" t="s">
        <v>775</v>
      </c>
      <c r="O964" t="s">
        <v>74</v>
      </c>
      <c r="P964" t="s">
        <v>74</v>
      </c>
      <c r="Q964" t="s">
        <v>74</v>
      </c>
      <c r="R964" t="s">
        <v>74</v>
      </c>
      <c r="S964" t="s">
        <v>74</v>
      </c>
      <c r="T964" t="s">
        <v>13184</v>
      </c>
      <c r="U964" t="s">
        <v>13185</v>
      </c>
      <c r="V964" t="s">
        <v>13186</v>
      </c>
      <c r="W964" t="s">
        <v>13187</v>
      </c>
      <c r="X964" t="s">
        <v>13188</v>
      </c>
      <c r="Y964" t="s">
        <v>13189</v>
      </c>
      <c r="Z964" t="s">
        <v>13190</v>
      </c>
      <c r="AA964" t="s">
        <v>12717</v>
      </c>
      <c r="AB964" t="s">
        <v>12718</v>
      </c>
      <c r="AC964" t="s">
        <v>74</v>
      </c>
      <c r="AD964" t="s">
        <v>74</v>
      </c>
      <c r="AE964" t="s">
        <v>74</v>
      </c>
      <c r="AF964" t="s">
        <v>74</v>
      </c>
      <c r="AG964">
        <v>29</v>
      </c>
      <c r="AH964">
        <v>199</v>
      </c>
      <c r="AI964">
        <v>214</v>
      </c>
      <c r="AJ964">
        <v>0</v>
      </c>
      <c r="AK964">
        <v>3</v>
      </c>
      <c r="AL964" t="s">
        <v>387</v>
      </c>
      <c r="AM964" t="s">
        <v>388</v>
      </c>
      <c r="AN964" t="s">
        <v>389</v>
      </c>
      <c r="AO964" t="s">
        <v>5231</v>
      </c>
      <c r="AP964" t="s">
        <v>5232</v>
      </c>
      <c r="AQ964" t="s">
        <v>74</v>
      </c>
      <c r="AR964" t="s">
        <v>5233</v>
      </c>
      <c r="AS964" t="s">
        <v>5234</v>
      </c>
      <c r="AT964" t="s">
        <v>12719</v>
      </c>
      <c r="AU964">
        <v>2002</v>
      </c>
      <c r="AV964">
        <v>107</v>
      </c>
      <c r="AW964" t="s">
        <v>13191</v>
      </c>
      <c r="AX964" t="s">
        <v>74</v>
      </c>
      <c r="AY964" t="s">
        <v>74</v>
      </c>
      <c r="AZ964" t="s">
        <v>74</v>
      </c>
      <c r="BA964" t="s">
        <v>74</v>
      </c>
      <c r="BB964" t="s">
        <v>74</v>
      </c>
      <c r="BC964" t="s">
        <v>74</v>
      </c>
      <c r="BD964">
        <v>1144</v>
      </c>
      <c r="BE964" t="s">
        <v>13192</v>
      </c>
      <c r="BF964" t="str">
        <f>HYPERLINK("http://dx.doi.org/10.1029/2001JA900146","http://dx.doi.org/10.1029/2001JA900146")</f>
        <v>http://dx.doi.org/10.1029/2001JA900146</v>
      </c>
      <c r="BG964" t="s">
        <v>74</v>
      </c>
      <c r="BH964" t="s">
        <v>74</v>
      </c>
      <c r="BI964">
        <v>20</v>
      </c>
      <c r="BJ964" t="s">
        <v>4840</v>
      </c>
      <c r="BK964" t="s">
        <v>569</v>
      </c>
      <c r="BL964" t="s">
        <v>4840</v>
      </c>
      <c r="BM964" t="s">
        <v>13193</v>
      </c>
      <c r="BN964" t="s">
        <v>74</v>
      </c>
      <c r="BO964" t="s">
        <v>74</v>
      </c>
      <c r="BP964" t="s">
        <v>74</v>
      </c>
      <c r="BQ964" t="s">
        <v>74</v>
      </c>
      <c r="BR964" t="s">
        <v>98</v>
      </c>
      <c r="BS964" t="s">
        <v>13194</v>
      </c>
      <c r="BT964" t="str">
        <f>HYPERLINK("https%3A%2F%2Fwww.webofscience.com%2Fwos%2Fwoscc%2Ffull-record%2FWOS:000178982500005","View Full Record in Web of Science")</f>
        <v>View Full Record in Web of Science</v>
      </c>
    </row>
    <row r="965" spans="1:72" x14ac:dyDescent="0.15">
      <c r="A965" t="s">
        <v>552</v>
      </c>
      <c r="B965" t="s">
        <v>13195</v>
      </c>
      <c r="C965" t="s">
        <v>74</v>
      </c>
      <c r="D965" t="s">
        <v>74</v>
      </c>
      <c r="E965" t="s">
        <v>74</v>
      </c>
      <c r="F965" t="s">
        <v>13195</v>
      </c>
      <c r="G965" t="s">
        <v>74</v>
      </c>
      <c r="H965" t="s">
        <v>74</v>
      </c>
      <c r="I965" t="s">
        <v>13196</v>
      </c>
      <c r="J965" t="s">
        <v>5223</v>
      </c>
      <c r="K965" t="s">
        <v>74</v>
      </c>
      <c r="L965" t="s">
        <v>74</v>
      </c>
      <c r="M965" t="s">
        <v>78</v>
      </c>
      <c r="N965" t="s">
        <v>775</v>
      </c>
      <c r="O965" t="s">
        <v>74</v>
      </c>
      <c r="P965" t="s">
        <v>74</v>
      </c>
      <c r="Q965" t="s">
        <v>74</v>
      </c>
      <c r="R965" t="s">
        <v>74</v>
      </c>
      <c r="S965" t="s">
        <v>74</v>
      </c>
      <c r="T965" t="s">
        <v>13197</v>
      </c>
      <c r="U965" t="s">
        <v>13198</v>
      </c>
      <c r="V965" t="s">
        <v>13199</v>
      </c>
      <c r="W965" t="s">
        <v>13200</v>
      </c>
      <c r="X965" t="s">
        <v>13201</v>
      </c>
      <c r="Y965" t="s">
        <v>13202</v>
      </c>
      <c r="Z965" t="s">
        <v>13203</v>
      </c>
      <c r="AA965" t="s">
        <v>8836</v>
      </c>
      <c r="AB965" t="s">
        <v>8837</v>
      </c>
      <c r="AC965" t="s">
        <v>74</v>
      </c>
      <c r="AD965" t="s">
        <v>74</v>
      </c>
      <c r="AE965" t="s">
        <v>74</v>
      </c>
      <c r="AF965" t="s">
        <v>74</v>
      </c>
      <c r="AG965">
        <v>43</v>
      </c>
      <c r="AH965">
        <v>9</v>
      </c>
      <c r="AI965">
        <v>10</v>
      </c>
      <c r="AJ965">
        <v>0</v>
      </c>
      <c r="AK965">
        <v>1</v>
      </c>
      <c r="AL965" t="s">
        <v>387</v>
      </c>
      <c r="AM965" t="s">
        <v>388</v>
      </c>
      <c r="AN965" t="s">
        <v>389</v>
      </c>
      <c r="AO965" t="s">
        <v>5231</v>
      </c>
      <c r="AP965" t="s">
        <v>5232</v>
      </c>
      <c r="AQ965" t="s">
        <v>74</v>
      </c>
      <c r="AR965" t="s">
        <v>5233</v>
      </c>
      <c r="AS965" t="s">
        <v>5234</v>
      </c>
      <c r="AT965" t="s">
        <v>12719</v>
      </c>
      <c r="AU965">
        <v>2002</v>
      </c>
      <c r="AV965">
        <v>107</v>
      </c>
      <c r="AW965" t="s">
        <v>13191</v>
      </c>
      <c r="AX965" t="s">
        <v>74</v>
      </c>
      <c r="AY965" t="s">
        <v>74</v>
      </c>
      <c r="AZ965" t="s">
        <v>74</v>
      </c>
      <c r="BA965" t="s">
        <v>74</v>
      </c>
      <c r="BB965" t="s">
        <v>74</v>
      </c>
      <c r="BC965" t="s">
        <v>74</v>
      </c>
      <c r="BD965">
        <v>1145</v>
      </c>
      <c r="BE965" t="s">
        <v>13204</v>
      </c>
      <c r="BF965" t="str">
        <f>HYPERLINK("http://dx.doi.org/10.1029/2001JA000311","http://dx.doi.org/10.1029/2001JA000311")</f>
        <v>http://dx.doi.org/10.1029/2001JA000311</v>
      </c>
      <c r="BG965" t="s">
        <v>74</v>
      </c>
      <c r="BH965" t="s">
        <v>74</v>
      </c>
      <c r="BI965">
        <v>11</v>
      </c>
      <c r="BJ965" t="s">
        <v>4840</v>
      </c>
      <c r="BK965" t="s">
        <v>569</v>
      </c>
      <c r="BL965" t="s">
        <v>4840</v>
      </c>
      <c r="BM965" t="s">
        <v>13193</v>
      </c>
      <c r="BN965" t="s">
        <v>74</v>
      </c>
      <c r="BO965" t="s">
        <v>572</v>
      </c>
      <c r="BP965" t="s">
        <v>74</v>
      </c>
      <c r="BQ965" t="s">
        <v>74</v>
      </c>
      <c r="BR965" t="s">
        <v>98</v>
      </c>
      <c r="BS965" t="s">
        <v>13205</v>
      </c>
      <c r="BT965" t="str">
        <f>HYPERLINK("https%3A%2F%2Fwww.webofscience.com%2Fwos%2Fwoscc%2Ffull-record%2FWOS:000178982500007","View Full Record in Web of Science")</f>
        <v>View Full Record in Web of Science</v>
      </c>
    </row>
    <row r="966" spans="1:72" x14ac:dyDescent="0.15">
      <c r="A966" t="s">
        <v>552</v>
      </c>
      <c r="B966" t="s">
        <v>13206</v>
      </c>
      <c r="C966" t="s">
        <v>74</v>
      </c>
      <c r="D966" t="s">
        <v>74</v>
      </c>
      <c r="E966" t="s">
        <v>74</v>
      </c>
      <c r="F966" t="s">
        <v>13206</v>
      </c>
      <c r="G966" t="s">
        <v>74</v>
      </c>
      <c r="H966" t="s">
        <v>74</v>
      </c>
      <c r="I966" t="s">
        <v>13207</v>
      </c>
      <c r="J966" t="s">
        <v>6990</v>
      </c>
      <c r="K966" t="s">
        <v>74</v>
      </c>
      <c r="L966" t="s">
        <v>74</v>
      </c>
      <c r="M966" t="s">
        <v>78</v>
      </c>
      <c r="N966" t="s">
        <v>775</v>
      </c>
      <c r="O966" t="s">
        <v>74</v>
      </c>
      <c r="P966" t="s">
        <v>74</v>
      </c>
      <c r="Q966" t="s">
        <v>74</v>
      </c>
      <c r="R966" t="s">
        <v>74</v>
      </c>
      <c r="S966" t="s">
        <v>74</v>
      </c>
      <c r="T966" t="s">
        <v>13208</v>
      </c>
      <c r="U966" t="s">
        <v>13209</v>
      </c>
      <c r="V966" t="s">
        <v>13210</v>
      </c>
      <c r="W966" t="s">
        <v>13211</v>
      </c>
      <c r="X966" t="s">
        <v>13212</v>
      </c>
      <c r="Y966" t="s">
        <v>13213</v>
      </c>
      <c r="Z966" t="s">
        <v>13214</v>
      </c>
      <c r="AA966" t="s">
        <v>13215</v>
      </c>
      <c r="AB966" t="s">
        <v>13216</v>
      </c>
      <c r="AC966" t="s">
        <v>74</v>
      </c>
      <c r="AD966" t="s">
        <v>74</v>
      </c>
      <c r="AE966" t="s">
        <v>74</v>
      </c>
      <c r="AF966" t="s">
        <v>74</v>
      </c>
      <c r="AG966">
        <v>36</v>
      </c>
      <c r="AH966">
        <v>36</v>
      </c>
      <c r="AI966">
        <v>38</v>
      </c>
      <c r="AJ966">
        <v>0</v>
      </c>
      <c r="AK966">
        <v>14</v>
      </c>
      <c r="AL966" t="s">
        <v>3155</v>
      </c>
      <c r="AM966" t="s">
        <v>1861</v>
      </c>
      <c r="AN966" t="s">
        <v>3156</v>
      </c>
      <c r="AO966" t="s">
        <v>7002</v>
      </c>
      <c r="AP966" t="s">
        <v>7049</v>
      </c>
      <c r="AQ966" t="s">
        <v>74</v>
      </c>
      <c r="AR966" t="s">
        <v>7003</v>
      </c>
      <c r="AS966" t="s">
        <v>7004</v>
      </c>
      <c r="AT966" t="s">
        <v>13217</v>
      </c>
      <c r="AU966">
        <v>2002</v>
      </c>
      <c r="AV966">
        <v>35</v>
      </c>
      <c r="AW966" t="s">
        <v>1424</v>
      </c>
      <c r="AX966" t="s">
        <v>74</v>
      </c>
      <c r="AY966" t="s">
        <v>74</v>
      </c>
      <c r="AZ966" t="s">
        <v>74</v>
      </c>
      <c r="BA966" t="s">
        <v>74</v>
      </c>
      <c r="BB966">
        <v>207</v>
      </c>
      <c r="BC966">
        <v>227</v>
      </c>
      <c r="BD966" t="s">
        <v>13218</v>
      </c>
      <c r="BE966" t="s">
        <v>13219</v>
      </c>
      <c r="BF966" t="str">
        <f>HYPERLINK("http://dx.doi.org/10.1016/S0924-7963(02)00082-9","http://dx.doi.org/10.1016/S0924-7963(02)00082-9")</f>
        <v>http://dx.doi.org/10.1016/S0924-7963(02)00082-9</v>
      </c>
      <c r="BG966" t="s">
        <v>74</v>
      </c>
      <c r="BH966" t="s">
        <v>74</v>
      </c>
      <c r="BI966">
        <v>21</v>
      </c>
      <c r="BJ966" t="s">
        <v>7007</v>
      </c>
      <c r="BK966" t="s">
        <v>569</v>
      </c>
      <c r="BL966" t="s">
        <v>7008</v>
      </c>
      <c r="BM966" t="s">
        <v>13220</v>
      </c>
      <c r="BN966" t="s">
        <v>74</v>
      </c>
      <c r="BO966" t="s">
        <v>794</v>
      </c>
      <c r="BP966" t="s">
        <v>74</v>
      </c>
      <c r="BQ966" t="s">
        <v>74</v>
      </c>
      <c r="BR966" t="s">
        <v>98</v>
      </c>
      <c r="BS966" t="s">
        <v>13221</v>
      </c>
      <c r="BT966" t="str">
        <f>HYPERLINK("https%3A%2F%2Fwww.webofscience.com%2Fwos%2Fwoscc%2Ffull-record%2FWOS:000177019300005","View Full Record in Web of Science")</f>
        <v>View Full Record in Web of Science</v>
      </c>
    </row>
    <row r="967" spans="1:72" x14ac:dyDescent="0.15">
      <c r="A967" t="s">
        <v>552</v>
      </c>
      <c r="B967" t="s">
        <v>13222</v>
      </c>
      <c r="C967" t="s">
        <v>74</v>
      </c>
      <c r="D967" t="s">
        <v>74</v>
      </c>
      <c r="E967" t="s">
        <v>74</v>
      </c>
      <c r="F967" t="s">
        <v>13222</v>
      </c>
      <c r="G967" t="s">
        <v>74</v>
      </c>
      <c r="H967" t="s">
        <v>74</v>
      </c>
      <c r="I967" t="s">
        <v>13223</v>
      </c>
      <c r="J967" t="s">
        <v>13224</v>
      </c>
      <c r="K967" t="s">
        <v>74</v>
      </c>
      <c r="L967" t="s">
        <v>74</v>
      </c>
      <c r="M967" t="s">
        <v>78</v>
      </c>
      <c r="N967" t="s">
        <v>775</v>
      </c>
      <c r="O967" t="s">
        <v>74</v>
      </c>
      <c r="P967" t="s">
        <v>74</v>
      </c>
      <c r="Q967" t="s">
        <v>74</v>
      </c>
      <c r="R967" t="s">
        <v>74</v>
      </c>
      <c r="S967" t="s">
        <v>74</v>
      </c>
      <c r="T967" t="s">
        <v>13225</v>
      </c>
      <c r="U967" t="s">
        <v>13226</v>
      </c>
      <c r="V967" t="s">
        <v>13227</v>
      </c>
      <c r="W967" t="s">
        <v>13228</v>
      </c>
      <c r="X967" t="s">
        <v>11896</v>
      </c>
      <c r="Y967" t="s">
        <v>13229</v>
      </c>
      <c r="Z967" t="s">
        <v>74</v>
      </c>
      <c r="AA967" t="s">
        <v>13230</v>
      </c>
      <c r="AB967" t="s">
        <v>13231</v>
      </c>
      <c r="AC967" t="s">
        <v>74</v>
      </c>
      <c r="AD967" t="s">
        <v>74</v>
      </c>
      <c r="AE967" t="s">
        <v>74</v>
      </c>
      <c r="AF967" t="s">
        <v>74</v>
      </c>
      <c r="AG967">
        <v>18</v>
      </c>
      <c r="AH967">
        <v>20</v>
      </c>
      <c r="AI967">
        <v>22</v>
      </c>
      <c r="AJ967">
        <v>0</v>
      </c>
      <c r="AK967">
        <v>11</v>
      </c>
      <c r="AL967" t="s">
        <v>1860</v>
      </c>
      <c r="AM967" t="s">
        <v>1861</v>
      </c>
      <c r="AN967" t="s">
        <v>1862</v>
      </c>
      <c r="AO967" t="s">
        <v>13232</v>
      </c>
      <c r="AP967" t="s">
        <v>74</v>
      </c>
      <c r="AQ967" t="s">
        <v>74</v>
      </c>
      <c r="AR967" t="s">
        <v>13233</v>
      </c>
      <c r="AS967" t="s">
        <v>13234</v>
      </c>
      <c r="AT967" t="s">
        <v>12719</v>
      </c>
      <c r="AU967">
        <v>2002</v>
      </c>
      <c r="AV967">
        <v>50</v>
      </c>
      <c r="AW967">
        <v>2</v>
      </c>
      <c r="AX967" t="s">
        <v>74</v>
      </c>
      <c r="AY967" t="s">
        <v>74</v>
      </c>
      <c r="AZ967" t="s">
        <v>74</v>
      </c>
      <c r="BA967" t="s">
        <v>74</v>
      </c>
      <c r="BB967">
        <v>103</v>
      </c>
      <c r="BC967">
        <v>113</v>
      </c>
      <c r="BD967" t="s">
        <v>13235</v>
      </c>
      <c r="BE967" t="s">
        <v>13236</v>
      </c>
      <c r="BF967" t="str">
        <f>HYPERLINK("http://dx.doi.org/10.1016/S0167-7012(02)00030-1","http://dx.doi.org/10.1016/S0167-7012(02)00030-1")</f>
        <v>http://dx.doi.org/10.1016/S0167-7012(02)00030-1</v>
      </c>
      <c r="BG967" t="s">
        <v>74</v>
      </c>
      <c r="BH967" t="s">
        <v>74</v>
      </c>
      <c r="BI967">
        <v>11</v>
      </c>
      <c r="BJ967" t="s">
        <v>13237</v>
      </c>
      <c r="BK967" t="s">
        <v>569</v>
      </c>
      <c r="BL967" t="s">
        <v>8756</v>
      </c>
      <c r="BM967" t="s">
        <v>13238</v>
      </c>
      <c r="BN967">
        <v>11997161</v>
      </c>
      <c r="BO967" t="s">
        <v>74</v>
      </c>
      <c r="BP967" t="s">
        <v>74</v>
      </c>
      <c r="BQ967" t="s">
        <v>74</v>
      </c>
      <c r="BR967" t="s">
        <v>98</v>
      </c>
      <c r="BS967" t="s">
        <v>13239</v>
      </c>
      <c r="BT967" t="str">
        <f>HYPERLINK("https%3A%2F%2Fwww.webofscience.com%2Fwos%2Fwoscc%2Ffull-record%2FWOS:000175864700001","View Full Record in Web of Science")</f>
        <v>View Full Record in Web of Science</v>
      </c>
    </row>
    <row r="968" spans="1:72" x14ac:dyDescent="0.15">
      <c r="A968" t="s">
        <v>552</v>
      </c>
      <c r="B968" t="s">
        <v>13240</v>
      </c>
      <c r="C968" t="s">
        <v>74</v>
      </c>
      <c r="D968" t="s">
        <v>74</v>
      </c>
      <c r="E968" t="s">
        <v>74</v>
      </c>
      <c r="F968" t="s">
        <v>13240</v>
      </c>
      <c r="G968" t="s">
        <v>74</v>
      </c>
      <c r="H968" t="s">
        <v>74</v>
      </c>
      <c r="I968" t="s">
        <v>13241</v>
      </c>
      <c r="J968" t="s">
        <v>12041</v>
      </c>
      <c r="K968" t="s">
        <v>74</v>
      </c>
      <c r="L968" t="s">
        <v>74</v>
      </c>
      <c r="M968" t="s">
        <v>78</v>
      </c>
      <c r="N968" t="s">
        <v>1114</v>
      </c>
      <c r="O968" t="s">
        <v>74</v>
      </c>
      <c r="P968" t="s">
        <v>74</v>
      </c>
      <c r="Q968" t="s">
        <v>74</v>
      </c>
      <c r="R968" t="s">
        <v>74</v>
      </c>
      <c r="S968" t="s">
        <v>74</v>
      </c>
      <c r="T968" t="s">
        <v>13242</v>
      </c>
      <c r="U968" t="s">
        <v>13243</v>
      </c>
      <c r="V968" t="s">
        <v>13244</v>
      </c>
      <c r="W968" t="s">
        <v>13245</v>
      </c>
      <c r="X968" t="s">
        <v>13246</v>
      </c>
      <c r="Y968" t="s">
        <v>13247</v>
      </c>
      <c r="Z968" t="s">
        <v>13248</v>
      </c>
      <c r="AA968" t="s">
        <v>13249</v>
      </c>
      <c r="AB968" t="s">
        <v>13250</v>
      </c>
      <c r="AC968" t="s">
        <v>74</v>
      </c>
      <c r="AD968" t="s">
        <v>74</v>
      </c>
      <c r="AE968" t="s">
        <v>74</v>
      </c>
      <c r="AF968" t="s">
        <v>74</v>
      </c>
      <c r="AG968">
        <v>115</v>
      </c>
      <c r="AH968">
        <v>341</v>
      </c>
      <c r="AI968">
        <v>375</v>
      </c>
      <c r="AJ968">
        <v>3</v>
      </c>
      <c r="AK968">
        <v>28</v>
      </c>
      <c r="AL968" t="s">
        <v>942</v>
      </c>
      <c r="AM968" t="s">
        <v>807</v>
      </c>
      <c r="AN968" t="s">
        <v>943</v>
      </c>
      <c r="AO968" t="s">
        <v>12051</v>
      </c>
      <c r="AP968" t="s">
        <v>12052</v>
      </c>
      <c r="AQ968" t="s">
        <v>74</v>
      </c>
      <c r="AR968" t="s">
        <v>12053</v>
      </c>
      <c r="AS968" t="s">
        <v>12054</v>
      </c>
      <c r="AT968" t="s">
        <v>12719</v>
      </c>
      <c r="AU968">
        <v>2002</v>
      </c>
      <c r="AV968">
        <v>43</v>
      </c>
      <c r="AW968">
        <v>7</v>
      </c>
      <c r="AX968" t="s">
        <v>74</v>
      </c>
      <c r="AY968" t="s">
        <v>74</v>
      </c>
      <c r="AZ968" t="s">
        <v>74</v>
      </c>
      <c r="BA968" t="s">
        <v>74</v>
      </c>
      <c r="BB968">
        <v>1121</v>
      </c>
      <c r="BC968">
        <v>1139</v>
      </c>
      <c r="BD968" t="s">
        <v>74</v>
      </c>
      <c r="BE968" t="s">
        <v>13251</v>
      </c>
      <c r="BF968" t="str">
        <f>HYPERLINK("http://dx.doi.org/10.1093/petrology/43.7.1121","http://dx.doi.org/10.1093/petrology/43.7.1121")</f>
        <v>http://dx.doi.org/10.1093/petrology/43.7.1121</v>
      </c>
      <c r="BG968" t="s">
        <v>74</v>
      </c>
      <c r="BH968" t="s">
        <v>74</v>
      </c>
      <c r="BI968">
        <v>19</v>
      </c>
      <c r="BJ968" t="s">
        <v>2068</v>
      </c>
      <c r="BK968" t="s">
        <v>569</v>
      </c>
      <c r="BL968" t="s">
        <v>2068</v>
      </c>
      <c r="BM968" t="s">
        <v>13252</v>
      </c>
      <c r="BN968" t="s">
        <v>74</v>
      </c>
      <c r="BO968" t="s">
        <v>74</v>
      </c>
      <c r="BP968" t="s">
        <v>74</v>
      </c>
      <c r="BQ968" t="s">
        <v>74</v>
      </c>
      <c r="BR968" t="s">
        <v>98</v>
      </c>
      <c r="BS968" t="s">
        <v>13253</v>
      </c>
      <c r="BT968" t="str">
        <f>HYPERLINK("https%3A%2F%2Fwww.webofscience.com%2Fwos%2Fwoscc%2Ffull-record%2FWOS:000176789300003","View Full Record in Web of Science")</f>
        <v>View Full Record in Web of Science</v>
      </c>
    </row>
    <row r="969" spans="1:72" x14ac:dyDescent="0.15">
      <c r="A969" t="s">
        <v>552</v>
      </c>
      <c r="B969" t="s">
        <v>13254</v>
      </c>
      <c r="C969" t="s">
        <v>74</v>
      </c>
      <c r="D969" t="s">
        <v>74</v>
      </c>
      <c r="E969" t="s">
        <v>74</v>
      </c>
      <c r="F969" t="s">
        <v>13254</v>
      </c>
      <c r="G969" t="s">
        <v>74</v>
      </c>
      <c r="H969" t="s">
        <v>74</v>
      </c>
      <c r="I969" t="s">
        <v>13255</v>
      </c>
      <c r="J969" t="s">
        <v>12041</v>
      </c>
      <c r="K969" t="s">
        <v>74</v>
      </c>
      <c r="L969" t="s">
        <v>74</v>
      </c>
      <c r="M969" t="s">
        <v>78</v>
      </c>
      <c r="N969" t="s">
        <v>775</v>
      </c>
      <c r="O969" t="s">
        <v>74</v>
      </c>
      <c r="P969" t="s">
        <v>74</v>
      </c>
      <c r="Q969" t="s">
        <v>74</v>
      </c>
      <c r="R969" t="s">
        <v>74</v>
      </c>
      <c r="S969" t="s">
        <v>74</v>
      </c>
      <c r="T969" t="s">
        <v>13256</v>
      </c>
      <c r="U969" t="s">
        <v>13257</v>
      </c>
      <c r="V969" t="s">
        <v>13258</v>
      </c>
      <c r="W969" t="s">
        <v>13259</v>
      </c>
      <c r="X969" t="s">
        <v>74</v>
      </c>
      <c r="Y969" t="s">
        <v>13260</v>
      </c>
      <c r="Z969" t="s">
        <v>13261</v>
      </c>
      <c r="AA969" t="s">
        <v>13262</v>
      </c>
      <c r="AB969" t="s">
        <v>13263</v>
      </c>
      <c r="AC969" t="s">
        <v>74</v>
      </c>
      <c r="AD969" t="s">
        <v>74</v>
      </c>
      <c r="AE969" t="s">
        <v>74</v>
      </c>
      <c r="AF969" t="s">
        <v>74</v>
      </c>
      <c r="AG969">
        <v>95</v>
      </c>
      <c r="AH969">
        <v>103</v>
      </c>
      <c r="AI969">
        <v>111</v>
      </c>
      <c r="AJ969">
        <v>2</v>
      </c>
      <c r="AK969">
        <v>14</v>
      </c>
      <c r="AL969" t="s">
        <v>942</v>
      </c>
      <c r="AM969" t="s">
        <v>807</v>
      </c>
      <c r="AN969" t="s">
        <v>943</v>
      </c>
      <c r="AO969" t="s">
        <v>12051</v>
      </c>
      <c r="AP969" t="s">
        <v>12052</v>
      </c>
      <c r="AQ969" t="s">
        <v>74</v>
      </c>
      <c r="AR969" t="s">
        <v>12053</v>
      </c>
      <c r="AS969" t="s">
        <v>12054</v>
      </c>
      <c r="AT969" t="s">
        <v>12719</v>
      </c>
      <c r="AU969">
        <v>2002</v>
      </c>
      <c r="AV969">
        <v>43</v>
      </c>
      <c r="AW969">
        <v>7</v>
      </c>
      <c r="AX969" t="s">
        <v>74</v>
      </c>
      <c r="AY969" t="s">
        <v>74</v>
      </c>
      <c r="AZ969" t="s">
        <v>74</v>
      </c>
      <c r="BA969" t="s">
        <v>74</v>
      </c>
      <c r="BB969">
        <v>1155</v>
      </c>
      <c r="BC969">
        <v>1176</v>
      </c>
      <c r="BD969" t="s">
        <v>74</v>
      </c>
      <c r="BE969" t="s">
        <v>13264</v>
      </c>
      <c r="BF969" t="str">
        <f>HYPERLINK("http://dx.doi.org/10.1093/petrology/43.7.1155","http://dx.doi.org/10.1093/petrology/43.7.1155")</f>
        <v>http://dx.doi.org/10.1093/petrology/43.7.1155</v>
      </c>
      <c r="BG969" t="s">
        <v>74</v>
      </c>
      <c r="BH969" t="s">
        <v>74</v>
      </c>
      <c r="BI969">
        <v>22</v>
      </c>
      <c r="BJ969" t="s">
        <v>2068</v>
      </c>
      <c r="BK969" t="s">
        <v>569</v>
      </c>
      <c r="BL969" t="s">
        <v>2068</v>
      </c>
      <c r="BM969" t="s">
        <v>13252</v>
      </c>
      <c r="BN969" t="s">
        <v>74</v>
      </c>
      <c r="BO969" t="s">
        <v>572</v>
      </c>
      <c r="BP969" t="s">
        <v>74</v>
      </c>
      <c r="BQ969" t="s">
        <v>74</v>
      </c>
      <c r="BR969" t="s">
        <v>98</v>
      </c>
      <c r="BS969" t="s">
        <v>13265</v>
      </c>
      <c r="BT969" t="str">
        <f>HYPERLINK("https%3A%2F%2Fwww.webofscience.com%2Fwos%2Fwoscc%2Ffull-record%2FWOS:000176789300005","View Full Record in Web of Science")</f>
        <v>View Full Record in Web of Science</v>
      </c>
    </row>
    <row r="970" spans="1:72" x14ac:dyDescent="0.15">
      <c r="A970" t="s">
        <v>552</v>
      </c>
      <c r="B970" t="s">
        <v>13266</v>
      </c>
      <c r="C970" t="s">
        <v>74</v>
      </c>
      <c r="D970" t="s">
        <v>74</v>
      </c>
      <c r="E970" t="s">
        <v>74</v>
      </c>
      <c r="F970" t="s">
        <v>13266</v>
      </c>
      <c r="G970" t="s">
        <v>74</v>
      </c>
      <c r="H970" t="s">
        <v>74</v>
      </c>
      <c r="I970" t="s">
        <v>13267</v>
      </c>
      <c r="J970" t="s">
        <v>12041</v>
      </c>
      <c r="K970" t="s">
        <v>74</v>
      </c>
      <c r="L970" t="s">
        <v>74</v>
      </c>
      <c r="M970" t="s">
        <v>78</v>
      </c>
      <c r="N970" t="s">
        <v>775</v>
      </c>
      <c r="O970" t="s">
        <v>74</v>
      </c>
      <c r="P970" t="s">
        <v>74</v>
      </c>
      <c r="Q970" t="s">
        <v>74</v>
      </c>
      <c r="R970" t="s">
        <v>74</v>
      </c>
      <c r="S970" t="s">
        <v>74</v>
      </c>
      <c r="T970" t="s">
        <v>13268</v>
      </c>
      <c r="U970" t="s">
        <v>13269</v>
      </c>
      <c r="V970" t="s">
        <v>13270</v>
      </c>
      <c r="W970" t="s">
        <v>13271</v>
      </c>
      <c r="X970" t="s">
        <v>13272</v>
      </c>
      <c r="Y970" t="s">
        <v>13273</v>
      </c>
      <c r="Z970" t="s">
        <v>74</v>
      </c>
      <c r="AA970" t="s">
        <v>13274</v>
      </c>
      <c r="AB970" t="s">
        <v>13275</v>
      </c>
      <c r="AC970" t="s">
        <v>74</v>
      </c>
      <c r="AD970" t="s">
        <v>74</v>
      </c>
      <c r="AE970" t="s">
        <v>74</v>
      </c>
      <c r="AF970" t="s">
        <v>74</v>
      </c>
      <c r="AG970">
        <v>68</v>
      </c>
      <c r="AH970">
        <v>91</v>
      </c>
      <c r="AI970">
        <v>124</v>
      </c>
      <c r="AJ970">
        <v>0</v>
      </c>
      <c r="AK970">
        <v>6</v>
      </c>
      <c r="AL970" t="s">
        <v>942</v>
      </c>
      <c r="AM970" t="s">
        <v>807</v>
      </c>
      <c r="AN970" t="s">
        <v>943</v>
      </c>
      <c r="AO970" t="s">
        <v>12051</v>
      </c>
      <c r="AP970" t="s">
        <v>74</v>
      </c>
      <c r="AQ970" t="s">
        <v>74</v>
      </c>
      <c r="AR970" t="s">
        <v>12053</v>
      </c>
      <c r="AS970" t="s">
        <v>12054</v>
      </c>
      <c r="AT970" t="s">
        <v>12719</v>
      </c>
      <c r="AU970">
        <v>2002</v>
      </c>
      <c r="AV970">
        <v>43</v>
      </c>
      <c r="AW970">
        <v>7</v>
      </c>
      <c r="AX970" t="s">
        <v>74</v>
      </c>
      <c r="AY970" t="s">
        <v>74</v>
      </c>
      <c r="AZ970" t="s">
        <v>74</v>
      </c>
      <c r="BA970" t="s">
        <v>74</v>
      </c>
      <c r="BB970">
        <v>1241</v>
      </c>
      <c r="BC970">
        <v>1257</v>
      </c>
      <c r="BD970" t="s">
        <v>74</v>
      </c>
      <c r="BE970" t="s">
        <v>13276</v>
      </c>
      <c r="BF970" t="str">
        <f>HYPERLINK("http://dx.doi.org/10.1093/petrology/43.7.1241","http://dx.doi.org/10.1093/petrology/43.7.1241")</f>
        <v>http://dx.doi.org/10.1093/petrology/43.7.1241</v>
      </c>
      <c r="BG970" t="s">
        <v>74</v>
      </c>
      <c r="BH970" t="s">
        <v>74</v>
      </c>
      <c r="BI970">
        <v>17</v>
      </c>
      <c r="BJ970" t="s">
        <v>2068</v>
      </c>
      <c r="BK970" t="s">
        <v>569</v>
      </c>
      <c r="BL970" t="s">
        <v>2068</v>
      </c>
      <c r="BM970" t="s">
        <v>13252</v>
      </c>
      <c r="BN970" t="s">
        <v>74</v>
      </c>
      <c r="BO970" t="s">
        <v>572</v>
      </c>
      <c r="BP970" t="s">
        <v>74</v>
      </c>
      <c r="BQ970" t="s">
        <v>74</v>
      </c>
      <c r="BR970" t="s">
        <v>98</v>
      </c>
      <c r="BS970" t="s">
        <v>13277</v>
      </c>
      <c r="BT970" t="str">
        <f>HYPERLINK("https%3A%2F%2Fwww.webofscience.com%2Fwos%2Fwoscc%2Ffull-record%2FWOS:000176789300008","View Full Record in Web of Science")</f>
        <v>View Full Record in Web of Science</v>
      </c>
    </row>
    <row r="971" spans="1:72" x14ac:dyDescent="0.15">
      <c r="A971" t="s">
        <v>552</v>
      </c>
      <c r="B971" t="s">
        <v>13278</v>
      </c>
      <c r="C971" t="s">
        <v>74</v>
      </c>
      <c r="D971" t="s">
        <v>74</v>
      </c>
      <c r="E971" t="s">
        <v>74</v>
      </c>
      <c r="F971" t="s">
        <v>13278</v>
      </c>
      <c r="G971" t="s">
        <v>74</v>
      </c>
      <c r="H971" t="s">
        <v>74</v>
      </c>
      <c r="I971" t="s">
        <v>13279</v>
      </c>
      <c r="J971" t="s">
        <v>7888</v>
      </c>
      <c r="K971" t="s">
        <v>74</v>
      </c>
      <c r="L971" t="s">
        <v>74</v>
      </c>
      <c r="M971" t="s">
        <v>78</v>
      </c>
      <c r="N971" t="s">
        <v>775</v>
      </c>
      <c r="O971" t="s">
        <v>74</v>
      </c>
      <c r="P971" t="s">
        <v>74</v>
      </c>
      <c r="Q971" t="s">
        <v>74</v>
      </c>
      <c r="R971" t="s">
        <v>74</v>
      </c>
      <c r="S971" t="s">
        <v>74</v>
      </c>
      <c r="T971" t="s">
        <v>74</v>
      </c>
      <c r="U971" t="s">
        <v>13280</v>
      </c>
      <c r="V971" t="s">
        <v>13281</v>
      </c>
      <c r="W971" t="s">
        <v>13282</v>
      </c>
      <c r="X971" t="s">
        <v>5878</v>
      </c>
      <c r="Y971" t="s">
        <v>13283</v>
      </c>
      <c r="Z971" t="s">
        <v>74</v>
      </c>
      <c r="AA971" t="s">
        <v>74</v>
      </c>
      <c r="AB971" t="s">
        <v>74</v>
      </c>
      <c r="AC971" t="s">
        <v>74</v>
      </c>
      <c r="AD971" t="s">
        <v>74</v>
      </c>
      <c r="AE971" t="s">
        <v>74</v>
      </c>
      <c r="AF971" t="s">
        <v>74</v>
      </c>
      <c r="AG971">
        <v>79</v>
      </c>
      <c r="AH971">
        <v>42</v>
      </c>
      <c r="AI971">
        <v>50</v>
      </c>
      <c r="AJ971">
        <v>0</v>
      </c>
      <c r="AK971">
        <v>2</v>
      </c>
      <c r="AL971" t="s">
        <v>7896</v>
      </c>
      <c r="AM971" t="s">
        <v>7897</v>
      </c>
      <c r="AN971" t="s">
        <v>7898</v>
      </c>
      <c r="AO971" t="s">
        <v>7899</v>
      </c>
      <c r="AP971" t="s">
        <v>7900</v>
      </c>
      <c r="AQ971" t="s">
        <v>74</v>
      </c>
      <c r="AR971" t="s">
        <v>7901</v>
      </c>
      <c r="AS971" t="s">
        <v>7902</v>
      </c>
      <c r="AT971" t="s">
        <v>12719</v>
      </c>
      <c r="AU971">
        <v>2002</v>
      </c>
      <c r="AV971">
        <v>72</v>
      </c>
      <c r="AW971">
        <v>4</v>
      </c>
      <c r="AX971" t="s">
        <v>74</v>
      </c>
      <c r="AY971" t="s">
        <v>74</v>
      </c>
      <c r="AZ971" t="s">
        <v>74</v>
      </c>
      <c r="BA971" t="s">
        <v>74</v>
      </c>
      <c r="BB971">
        <v>510</v>
      </c>
      <c r="BC971">
        <v>523</v>
      </c>
      <c r="BD971" t="s">
        <v>74</v>
      </c>
      <c r="BE971" t="s">
        <v>13284</v>
      </c>
      <c r="BF971" t="str">
        <f>HYPERLINK("http://dx.doi.org/10.1306/110601720510","http://dx.doi.org/10.1306/110601720510")</f>
        <v>http://dx.doi.org/10.1306/110601720510</v>
      </c>
      <c r="BG971" t="s">
        <v>74</v>
      </c>
      <c r="BH971" t="s">
        <v>74</v>
      </c>
      <c r="BI971">
        <v>14</v>
      </c>
      <c r="BJ971" t="s">
        <v>1814</v>
      </c>
      <c r="BK971" t="s">
        <v>569</v>
      </c>
      <c r="BL971" t="s">
        <v>1814</v>
      </c>
      <c r="BM971" t="s">
        <v>13285</v>
      </c>
      <c r="BN971" t="s">
        <v>74</v>
      </c>
      <c r="BO971" t="s">
        <v>74</v>
      </c>
      <c r="BP971" t="s">
        <v>74</v>
      </c>
      <c r="BQ971" t="s">
        <v>74</v>
      </c>
      <c r="BR971" t="s">
        <v>98</v>
      </c>
      <c r="BS971" t="s">
        <v>13286</v>
      </c>
      <c r="BT971" t="str">
        <f>HYPERLINK("https%3A%2F%2Fwww.webofscience.com%2Fwos%2Fwoscc%2Ffull-record%2FWOS:000178505800007","View Full Record in Web of Science")</f>
        <v>View Full Record in Web of Science</v>
      </c>
    </row>
    <row r="972" spans="1:72" x14ac:dyDescent="0.15">
      <c r="A972" t="s">
        <v>552</v>
      </c>
      <c r="B972" t="s">
        <v>13287</v>
      </c>
      <c r="C972" t="s">
        <v>74</v>
      </c>
      <c r="D972" t="s">
        <v>74</v>
      </c>
      <c r="E972" t="s">
        <v>74</v>
      </c>
      <c r="F972" t="s">
        <v>13287</v>
      </c>
      <c r="G972" t="s">
        <v>74</v>
      </c>
      <c r="H972" t="s">
        <v>74</v>
      </c>
      <c r="I972" t="s">
        <v>13288</v>
      </c>
      <c r="J972" t="s">
        <v>7908</v>
      </c>
      <c r="K972" t="s">
        <v>74</v>
      </c>
      <c r="L972" t="s">
        <v>74</v>
      </c>
      <c r="M972" t="s">
        <v>78</v>
      </c>
      <c r="N972" t="s">
        <v>775</v>
      </c>
      <c r="O972" t="s">
        <v>74</v>
      </c>
      <c r="P972" t="s">
        <v>74</v>
      </c>
      <c r="Q972" t="s">
        <v>74</v>
      </c>
      <c r="R972" t="s">
        <v>74</v>
      </c>
      <c r="S972" t="s">
        <v>74</v>
      </c>
      <c r="T972" t="s">
        <v>74</v>
      </c>
      <c r="U972" t="s">
        <v>13289</v>
      </c>
      <c r="V972" t="s">
        <v>13290</v>
      </c>
      <c r="W972" t="s">
        <v>13291</v>
      </c>
      <c r="X972" t="s">
        <v>13292</v>
      </c>
      <c r="Y972" t="s">
        <v>13293</v>
      </c>
      <c r="Z972" t="s">
        <v>13294</v>
      </c>
      <c r="AA972" t="s">
        <v>13295</v>
      </c>
      <c r="AB972" t="s">
        <v>13296</v>
      </c>
      <c r="AC972" t="s">
        <v>74</v>
      </c>
      <c r="AD972" t="s">
        <v>74</v>
      </c>
      <c r="AE972" t="s">
        <v>74</v>
      </c>
      <c r="AF972" t="s">
        <v>74</v>
      </c>
      <c r="AG972">
        <v>43</v>
      </c>
      <c r="AH972">
        <v>26</v>
      </c>
      <c r="AI972">
        <v>30</v>
      </c>
      <c r="AJ972">
        <v>0</v>
      </c>
      <c r="AK972">
        <v>4</v>
      </c>
      <c r="AL972" t="s">
        <v>2652</v>
      </c>
      <c r="AM972" t="s">
        <v>2653</v>
      </c>
      <c r="AN972" t="s">
        <v>2654</v>
      </c>
      <c r="AO972" t="s">
        <v>7915</v>
      </c>
      <c r="AP972" t="s">
        <v>13297</v>
      </c>
      <c r="AQ972" t="s">
        <v>74</v>
      </c>
      <c r="AR972" t="s">
        <v>7916</v>
      </c>
      <c r="AS972" t="s">
        <v>7917</v>
      </c>
      <c r="AT972" t="s">
        <v>12719</v>
      </c>
      <c r="AU972">
        <v>2002</v>
      </c>
      <c r="AV972">
        <v>59</v>
      </c>
      <c r="AW972">
        <v>13</v>
      </c>
      <c r="AX972" t="s">
        <v>74</v>
      </c>
      <c r="AY972" t="s">
        <v>74</v>
      </c>
      <c r="AZ972" t="s">
        <v>74</v>
      </c>
      <c r="BA972" t="s">
        <v>74</v>
      </c>
      <c r="BB972">
        <v>2128</v>
      </c>
      <c r="BC972">
        <v>2140</v>
      </c>
      <c r="BD972" t="s">
        <v>74</v>
      </c>
      <c r="BE972" t="s">
        <v>13298</v>
      </c>
      <c r="BF972" t="str">
        <f>HYPERLINK("http://dx.doi.org/10.1175/1520-0469(2002)059&lt;2128:ERVOTS&gt;2.0.CO;2","http://dx.doi.org/10.1175/1520-0469(2002)059&lt;2128:ERVOTS&gt;2.0.CO;2")</f>
        <v>http://dx.doi.org/10.1175/1520-0469(2002)059&lt;2128:ERVOTS&gt;2.0.CO;2</v>
      </c>
      <c r="BG972" t="s">
        <v>74</v>
      </c>
      <c r="BH972" t="s">
        <v>74</v>
      </c>
      <c r="BI972">
        <v>13</v>
      </c>
      <c r="BJ972" t="s">
        <v>1237</v>
      </c>
      <c r="BK972" t="s">
        <v>569</v>
      </c>
      <c r="BL972" t="s">
        <v>1237</v>
      </c>
      <c r="BM972" t="s">
        <v>13299</v>
      </c>
      <c r="BN972" t="s">
        <v>74</v>
      </c>
      <c r="BO972" t="s">
        <v>6871</v>
      </c>
      <c r="BP972" t="s">
        <v>74</v>
      </c>
      <c r="BQ972" t="s">
        <v>74</v>
      </c>
      <c r="BR972" t="s">
        <v>98</v>
      </c>
      <c r="BS972" t="s">
        <v>13300</v>
      </c>
      <c r="BT972" t="str">
        <f>HYPERLINK("https%3A%2F%2Fwww.webofscience.com%2Fwos%2Fwoscc%2Ffull-record%2FWOS:000175816700006","View Full Record in Web of Science")</f>
        <v>View Full Record in Web of Science</v>
      </c>
    </row>
    <row r="973" spans="1:72" x14ac:dyDescent="0.15">
      <c r="A973" t="s">
        <v>552</v>
      </c>
      <c r="B973" t="s">
        <v>13301</v>
      </c>
      <c r="C973" t="s">
        <v>74</v>
      </c>
      <c r="D973" t="s">
        <v>74</v>
      </c>
      <c r="E973" t="s">
        <v>74</v>
      </c>
      <c r="F973" t="s">
        <v>13301</v>
      </c>
      <c r="G973" t="s">
        <v>74</v>
      </c>
      <c r="H973" t="s">
        <v>74</v>
      </c>
      <c r="I973" t="s">
        <v>13302</v>
      </c>
      <c r="J973" t="s">
        <v>13303</v>
      </c>
      <c r="K973" t="s">
        <v>74</v>
      </c>
      <c r="L973" t="s">
        <v>74</v>
      </c>
      <c r="M973" t="s">
        <v>78</v>
      </c>
      <c r="N973" t="s">
        <v>775</v>
      </c>
      <c r="O973" t="s">
        <v>74</v>
      </c>
      <c r="P973" t="s">
        <v>74</v>
      </c>
      <c r="Q973" t="s">
        <v>74</v>
      </c>
      <c r="R973" t="s">
        <v>74</v>
      </c>
      <c r="S973" t="s">
        <v>74</v>
      </c>
      <c r="T973" t="s">
        <v>74</v>
      </c>
      <c r="U973" t="s">
        <v>13304</v>
      </c>
      <c r="V973" t="s">
        <v>13305</v>
      </c>
      <c r="W973" t="s">
        <v>13306</v>
      </c>
      <c r="X973" t="s">
        <v>13307</v>
      </c>
      <c r="Y973" t="s">
        <v>13308</v>
      </c>
      <c r="Z973" t="s">
        <v>74</v>
      </c>
      <c r="AA973" t="s">
        <v>13309</v>
      </c>
      <c r="AB973" t="s">
        <v>13310</v>
      </c>
      <c r="AC973" t="s">
        <v>74</v>
      </c>
      <c r="AD973" t="s">
        <v>74</v>
      </c>
      <c r="AE973" t="s">
        <v>74</v>
      </c>
      <c r="AF973" t="s">
        <v>74</v>
      </c>
      <c r="AG973">
        <v>15</v>
      </c>
      <c r="AH973">
        <v>35</v>
      </c>
      <c r="AI973">
        <v>37</v>
      </c>
      <c r="AJ973">
        <v>0</v>
      </c>
      <c r="AK973">
        <v>13</v>
      </c>
      <c r="AL973" t="s">
        <v>13311</v>
      </c>
      <c r="AM973" t="s">
        <v>13312</v>
      </c>
      <c r="AN973" t="s">
        <v>13313</v>
      </c>
      <c r="AO973" t="s">
        <v>13314</v>
      </c>
      <c r="AP973" t="s">
        <v>74</v>
      </c>
      <c r="AQ973" t="s">
        <v>74</v>
      </c>
      <c r="AR973" t="s">
        <v>13315</v>
      </c>
      <c r="AS973" t="s">
        <v>13316</v>
      </c>
      <c r="AT973" t="s">
        <v>12705</v>
      </c>
      <c r="AU973">
        <v>2002</v>
      </c>
      <c r="AV973">
        <v>9</v>
      </c>
      <c r="AW973">
        <v>4</v>
      </c>
      <c r="AX973" t="s">
        <v>74</v>
      </c>
      <c r="AY973" t="s">
        <v>74</v>
      </c>
      <c r="AZ973" t="s">
        <v>74</v>
      </c>
      <c r="BA973" t="s">
        <v>74</v>
      </c>
      <c r="BB973">
        <v>190</v>
      </c>
      <c r="BC973">
        <v>193</v>
      </c>
      <c r="BD973" t="s">
        <v>74</v>
      </c>
      <c r="BE973" t="s">
        <v>74</v>
      </c>
      <c r="BF973" t="s">
        <v>74</v>
      </c>
      <c r="BG973" t="s">
        <v>74</v>
      </c>
      <c r="BH973" t="s">
        <v>74</v>
      </c>
      <c r="BI973">
        <v>4</v>
      </c>
      <c r="BJ973" t="s">
        <v>13317</v>
      </c>
      <c r="BK973" t="s">
        <v>569</v>
      </c>
      <c r="BL973" t="s">
        <v>13318</v>
      </c>
      <c r="BM973" t="s">
        <v>13319</v>
      </c>
      <c r="BN973">
        <v>12962612</v>
      </c>
      <c r="BO973" t="s">
        <v>572</v>
      </c>
      <c r="BP973" t="s">
        <v>74</v>
      </c>
      <c r="BQ973" t="s">
        <v>74</v>
      </c>
      <c r="BR973" t="s">
        <v>98</v>
      </c>
      <c r="BS973" t="s">
        <v>13320</v>
      </c>
      <c r="BT973" t="str">
        <f>HYPERLINK("https%3A%2F%2Fwww.webofscience.com%2Fwos%2Fwoscc%2Ffull-record%2FWOS:000177289100004","View Full Record in Web of Science")</f>
        <v>View Full Record in Web of Science</v>
      </c>
    </row>
    <row r="974" spans="1:72" x14ac:dyDescent="0.15">
      <c r="A974" t="s">
        <v>552</v>
      </c>
      <c r="B974" t="s">
        <v>13321</v>
      </c>
      <c r="C974" t="s">
        <v>74</v>
      </c>
      <c r="D974" t="s">
        <v>74</v>
      </c>
      <c r="E974" t="s">
        <v>74</v>
      </c>
      <c r="F974" t="s">
        <v>13321</v>
      </c>
      <c r="G974" t="s">
        <v>74</v>
      </c>
      <c r="H974" t="s">
        <v>74</v>
      </c>
      <c r="I974" t="s">
        <v>13322</v>
      </c>
      <c r="J974" t="s">
        <v>3111</v>
      </c>
      <c r="K974" t="s">
        <v>74</v>
      </c>
      <c r="L974" t="s">
        <v>74</v>
      </c>
      <c r="M974" t="s">
        <v>78</v>
      </c>
      <c r="N974" t="s">
        <v>775</v>
      </c>
      <c r="O974" t="s">
        <v>74</v>
      </c>
      <c r="P974" t="s">
        <v>74</v>
      </c>
      <c r="Q974" t="s">
        <v>74</v>
      </c>
      <c r="R974" t="s">
        <v>74</v>
      </c>
      <c r="S974" t="s">
        <v>74</v>
      </c>
      <c r="T974" t="s">
        <v>74</v>
      </c>
      <c r="U974" t="s">
        <v>13323</v>
      </c>
      <c r="V974" t="s">
        <v>13324</v>
      </c>
      <c r="W974" t="s">
        <v>13325</v>
      </c>
      <c r="X974" t="s">
        <v>13326</v>
      </c>
      <c r="Y974" t="s">
        <v>13327</v>
      </c>
      <c r="Z974" t="s">
        <v>74</v>
      </c>
      <c r="AA974" t="s">
        <v>3373</v>
      </c>
      <c r="AB974" t="s">
        <v>13328</v>
      </c>
      <c r="AC974" t="s">
        <v>74</v>
      </c>
      <c r="AD974" t="s">
        <v>74</v>
      </c>
      <c r="AE974" t="s">
        <v>74</v>
      </c>
      <c r="AF974" t="s">
        <v>74</v>
      </c>
      <c r="AG974">
        <v>47</v>
      </c>
      <c r="AH974">
        <v>74</v>
      </c>
      <c r="AI974">
        <v>77</v>
      </c>
      <c r="AJ974">
        <v>2</v>
      </c>
      <c r="AK974">
        <v>25</v>
      </c>
      <c r="AL974" t="s">
        <v>3119</v>
      </c>
      <c r="AM974" t="s">
        <v>3120</v>
      </c>
      <c r="AN974" t="s">
        <v>3121</v>
      </c>
      <c r="AO974" t="s">
        <v>3122</v>
      </c>
      <c r="AP974" t="s">
        <v>74</v>
      </c>
      <c r="AQ974" t="s">
        <v>74</v>
      </c>
      <c r="AR974" t="s">
        <v>3123</v>
      </c>
      <c r="AS974" t="s">
        <v>3124</v>
      </c>
      <c r="AT974" t="s">
        <v>12719</v>
      </c>
      <c r="AU974">
        <v>2002</v>
      </c>
      <c r="AV974">
        <v>47</v>
      </c>
      <c r="AW974">
        <v>4</v>
      </c>
      <c r="AX974" t="s">
        <v>74</v>
      </c>
      <c r="AY974" t="s">
        <v>74</v>
      </c>
      <c r="AZ974" t="s">
        <v>74</v>
      </c>
      <c r="BA974" t="s">
        <v>74</v>
      </c>
      <c r="BB974">
        <v>943</v>
      </c>
      <c r="BC974">
        <v>952</v>
      </c>
      <c r="BD974" t="s">
        <v>74</v>
      </c>
      <c r="BE974" t="s">
        <v>13329</v>
      </c>
      <c r="BF974" t="str">
        <f>HYPERLINK("http://dx.doi.org/10.4319/lo.2002.47.4.0943","http://dx.doi.org/10.4319/lo.2002.47.4.0943")</f>
        <v>http://dx.doi.org/10.4319/lo.2002.47.4.0943</v>
      </c>
      <c r="BG974" t="s">
        <v>74</v>
      </c>
      <c r="BH974" t="s">
        <v>74</v>
      </c>
      <c r="BI974">
        <v>10</v>
      </c>
      <c r="BJ974" t="s">
        <v>3126</v>
      </c>
      <c r="BK974" t="s">
        <v>569</v>
      </c>
      <c r="BL974" t="s">
        <v>3127</v>
      </c>
      <c r="BM974" t="s">
        <v>13330</v>
      </c>
      <c r="BN974" t="s">
        <v>74</v>
      </c>
      <c r="BO974" t="s">
        <v>74</v>
      </c>
      <c r="BP974" t="s">
        <v>74</v>
      </c>
      <c r="BQ974" t="s">
        <v>74</v>
      </c>
      <c r="BR974" t="s">
        <v>98</v>
      </c>
      <c r="BS974" t="s">
        <v>13331</v>
      </c>
      <c r="BT974" t="str">
        <f>HYPERLINK("https%3A%2F%2Fwww.webofscience.com%2Fwos%2Fwoscc%2Ffull-record%2FWOS:000176931700003","View Full Record in Web of Science")</f>
        <v>View Full Record in Web of Science</v>
      </c>
    </row>
    <row r="975" spans="1:72" x14ac:dyDescent="0.15">
      <c r="A975" t="s">
        <v>552</v>
      </c>
      <c r="B975" t="s">
        <v>13332</v>
      </c>
      <c r="C975" t="s">
        <v>74</v>
      </c>
      <c r="D975" t="s">
        <v>74</v>
      </c>
      <c r="E975" t="s">
        <v>74</v>
      </c>
      <c r="F975" t="s">
        <v>13332</v>
      </c>
      <c r="G975" t="s">
        <v>74</v>
      </c>
      <c r="H975" t="s">
        <v>74</v>
      </c>
      <c r="I975" t="s">
        <v>13333</v>
      </c>
      <c r="J975" t="s">
        <v>3111</v>
      </c>
      <c r="K975" t="s">
        <v>74</v>
      </c>
      <c r="L975" t="s">
        <v>74</v>
      </c>
      <c r="M975" t="s">
        <v>78</v>
      </c>
      <c r="N975" t="s">
        <v>775</v>
      </c>
      <c r="O975" t="s">
        <v>74</v>
      </c>
      <c r="P975" t="s">
        <v>74</v>
      </c>
      <c r="Q975" t="s">
        <v>74</v>
      </c>
      <c r="R975" t="s">
        <v>74</v>
      </c>
      <c r="S975" t="s">
        <v>74</v>
      </c>
      <c r="T975" t="s">
        <v>74</v>
      </c>
      <c r="U975" t="s">
        <v>13334</v>
      </c>
      <c r="V975" t="s">
        <v>13335</v>
      </c>
      <c r="W975" t="s">
        <v>13336</v>
      </c>
      <c r="X975" t="s">
        <v>13337</v>
      </c>
      <c r="Y975" t="s">
        <v>13338</v>
      </c>
      <c r="Z975" t="s">
        <v>13339</v>
      </c>
      <c r="AA975" t="s">
        <v>13340</v>
      </c>
      <c r="AB975" t="s">
        <v>13328</v>
      </c>
      <c r="AC975" t="s">
        <v>74</v>
      </c>
      <c r="AD975" t="s">
        <v>74</v>
      </c>
      <c r="AE975" t="s">
        <v>74</v>
      </c>
      <c r="AF975" t="s">
        <v>74</v>
      </c>
      <c r="AG975">
        <v>61</v>
      </c>
      <c r="AH975">
        <v>121</v>
      </c>
      <c r="AI975">
        <v>135</v>
      </c>
      <c r="AJ975">
        <v>0</v>
      </c>
      <c r="AK975">
        <v>40</v>
      </c>
      <c r="AL975" t="s">
        <v>1147</v>
      </c>
      <c r="AM975" t="s">
        <v>1148</v>
      </c>
      <c r="AN975" t="s">
        <v>1149</v>
      </c>
      <c r="AO975" t="s">
        <v>3122</v>
      </c>
      <c r="AP975" t="s">
        <v>3140</v>
      </c>
      <c r="AQ975" t="s">
        <v>74</v>
      </c>
      <c r="AR975" t="s">
        <v>3123</v>
      </c>
      <c r="AS975" t="s">
        <v>3124</v>
      </c>
      <c r="AT975" t="s">
        <v>12719</v>
      </c>
      <c r="AU975">
        <v>2002</v>
      </c>
      <c r="AV975">
        <v>47</v>
      </c>
      <c r="AW975">
        <v>4</v>
      </c>
      <c r="AX975" t="s">
        <v>74</v>
      </c>
      <c r="AY975" t="s">
        <v>74</v>
      </c>
      <c r="AZ975" t="s">
        <v>74</v>
      </c>
      <c r="BA975" t="s">
        <v>74</v>
      </c>
      <c r="BB975">
        <v>953</v>
      </c>
      <c r="BC975">
        <v>966</v>
      </c>
      <c r="BD975" t="s">
        <v>74</v>
      </c>
      <c r="BE975" t="s">
        <v>13341</v>
      </c>
      <c r="BF975" t="str">
        <f>HYPERLINK("http://dx.doi.org/10.4319/lo.2002.47.4.0953","http://dx.doi.org/10.4319/lo.2002.47.4.0953")</f>
        <v>http://dx.doi.org/10.4319/lo.2002.47.4.0953</v>
      </c>
      <c r="BG975" t="s">
        <v>74</v>
      </c>
      <c r="BH975" t="s">
        <v>74</v>
      </c>
      <c r="BI975">
        <v>14</v>
      </c>
      <c r="BJ975" t="s">
        <v>3126</v>
      </c>
      <c r="BK975" t="s">
        <v>569</v>
      </c>
      <c r="BL975" t="s">
        <v>3127</v>
      </c>
      <c r="BM975" t="s">
        <v>13330</v>
      </c>
      <c r="BN975" t="s">
        <v>74</v>
      </c>
      <c r="BO975" t="s">
        <v>572</v>
      </c>
      <c r="BP975" t="s">
        <v>74</v>
      </c>
      <c r="BQ975" t="s">
        <v>74</v>
      </c>
      <c r="BR975" t="s">
        <v>98</v>
      </c>
      <c r="BS975" t="s">
        <v>13342</v>
      </c>
      <c r="BT975" t="str">
        <f>HYPERLINK("https%3A%2F%2Fwww.webofscience.com%2Fwos%2Fwoscc%2Ffull-record%2FWOS:000176931700004","View Full Record in Web of Science")</f>
        <v>View Full Record in Web of Science</v>
      </c>
    </row>
    <row r="976" spans="1:72" x14ac:dyDescent="0.15">
      <c r="A976" t="s">
        <v>552</v>
      </c>
      <c r="B976" t="s">
        <v>13343</v>
      </c>
      <c r="C976" t="s">
        <v>74</v>
      </c>
      <c r="D976" t="s">
        <v>74</v>
      </c>
      <c r="E976" t="s">
        <v>74</v>
      </c>
      <c r="F976" t="s">
        <v>13343</v>
      </c>
      <c r="G976" t="s">
        <v>74</v>
      </c>
      <c r="H976" t="s">
        <v>74</v>
      </c>
      <c r="I976" t="s">
        <v>13344</v>
      </c>
      <c r="J976" t="s">
        <v>6392</v>
      </c>
      <c r="K976" t="s">
        <v>74</v>
      </c>
      <c r="L976" t="s">
        <v>74</v>
      </c>
      <c r="M976" t="s">
        <v>78</v>
      </c>
      <c r="N976" t="s">
        <v>775</v>
      </c>
      <c r="O976" t="s">
        <v>74</v>
      </c>
      <c r="P976" t="s">
        <v>74</v>
      </c>
      <c r="Q976" t="s">
        <v>74</v>
      </c>
      <c r="R976" t="s">
        <v>74</v>
      </c>
      <c r="S976" t="s">
        <v>74</v>
      </c>
      <c r="T976" t="s">
        <v>74</v>
      </c>
      <c r="U976" t="s">
        <v>13345</v>
      </c>
      <c r="V976" t="s">
        <v>13346</v>
      </c>
      <c r="W976" t="s">
        <v>13347</v>
      </c>
      <c r="X976" t="s">
        <v>13023</v>
      </c>
      <c r="Y976" t="s">
        <v>13348</v>
      </c>
      <c r="Z976" t="s">
        <v>13349</v>
      </c>
      <c r="AA976" t="s">
        <v>13350</v>
      </c>
      <c r="AB976" t="s">
        <v>74</v>
      </c>
      <c r="AC976" t="s">
        <v>74</v>
      </c>
      <c r="AD976" t="s">
        <v>74</v>
      </c>
      <c r="AE976" t="s">
        <v>74</v>
      </c>
      <c r="AF976" t="s">
        <v>74</v>
      </c>
      <c r="AG976">
        <v>58</v>
      </c>
      <c r="AH976">
        <v>10</v>
      </c>
      <c r="AI976">
        <v>11</v>
      </c>
      <c r="AJ976">
        <v>0</v>
      </c>
      <c r="AK976">
        <v>5</v>
      </c>
      <c r="AL976" t="s">
        <v>4121</v>
      </c>
      <c r="AM976" t="s">
        <v>4122</v>
      </c>
      <c r="AN976" t="s">
        <v>4123</v>
      </c>
      <c r="AO976" t="s">
        <v>6397</v>
      </c>
      <c r="AP976" t="s">
        <v>7943</v>
      </c>
      <c r="AQ976" t="s">
        <v>74</v>
      </c>
      <c r="AR976" t="s">
        <v>6398</v>
      </c>
      <c r="AS976" t="s">
        <v>6399</v>
      </c>
      <c r="AT976" t="s">
        <v>12719</v>
      </c>
      <c r="AU976">
        <v>2002</v>
      </c>
      <c r="AV976">
        <v>141</v>
      </c>
      <c r="AW976">
        <v>1</v>
      </c>
      <c r="AX976" t="s">
        <v>74</v>
      </c>
      <c r="AY976" t="s">
        <v>74</v>
      </c>
      <c r="AZ976" t="s">
        <v>74</v>
      </c>
      <c r="BA976" t="s">
        <v>74</v>
      </c>
      <c r="BB976">
        <v>65</v>
      </c>
      <c r="BC976">
        <v>74</v>
      </c>
      <c r="BD976" t="s">
        <v>74</v>
      </c>
      <c r="BE976" t="s">
        <v>13351</v>
      </c>
      <c r="BF976" t="str">
        <f>HYPERLINK("http://dx.doi.org/10.1007/s00227-002-0808-7","http://dx.doi.org/10.1007/s00227-002-0808-7")</f>
        <v>http://dx.doi.org/10.1007/s00227-002-0808-7</v>
      </c>
      <c r="BG976" t="s">
        <v>74</v>
      </c>
      <c r="BH976" t="s">
        <v>74</v>
      </c>
      <c r="BI976">
        <v>10</v>
      </c>
      <c r="BJ976" t="s">
        <v>989</v>
      </c>
      <c r="BK976" t="s">
        <v>569</v>
      </c>
      <c r="BL976" t="s">
        <v>989</v>
      </c>
      <c r="BM976" t="s">
        <v>13352</v>
      </c>
      <c r="BN976" t="s">
        <v>74</v>
      </c>
      <c r="BO976" t="s">
        <v>1574</v>
      </c>
      <c r="BP976" t="s">
        <v>74</v>
      </c>
      <c r="BQ976" t="s">
        <v>74</v>
      </c>
      <c r="BR976" t="s">
        <v>98</v>
      </c>
      <c r="BS976" t="s">
        <v>13353</v>
      </c>
      <c r="BT976" t="str">
        <f>HYPERLINK("https%3A%2F%2Fwww.webofscience.com%2Fwos%2Fwoscc%2Ffull-record%2FWOS:000177239300008","View Full Record in Web of Science")</f>
        <v>View Full Record in Web of Science</v>
      </c>
    </row>
    <row r="977" spans="1:72" x14ac:dyDescent="0.15">
      <c r="A977" t="s">
        <v>552</v>
      </c>
      <c r="B977" t="s">
        <v>13354</v>
      </c>
      <c r="C977" t="s">
        <v>74</v>
      </c>
      <c r="D977" t="s">
        <v>74</v>
      </c>
      <c r="E977" t="s">
        <v>74</v>
      </c>
      <c r="F977" t="s">
        <v>13354</v>
      </c>
      <c r="G977" t="s">
        <v>74</v>
      </c>
      <c r="H977" t="s">
        <v>74</v>
      </c>
      <c r="I977" t="s">
        <v>13355</v>
      </c>
      <c r="J977" t="s">
        <v>6392</v>
      </c>
      <c r="K977" t="s">
        <v>74</v>
      </c>
      <c r="L977" t="s">
        <v>74</v>
      </c>
      <c r="M977" t="s">
        <v>78</v>
      </c>
      <c r="N977" t="s">
        <v>775</v>
      </c>
      <c r="O977" t="s">
        <v>74</v>
      </c>
      <c r="P977" t="s">
        <v>74</v>
      </c>
      <c r="Q977" t="s">
        <v>74</v>
      </c>
      <c r="R977" t="s">
        <v>74</v>
      </c>
      <c r="S977" t="s">
        <v>74</v>
      </c>
      <c r="T977" t="s">
        <v>74</v>
      </c>
      <c r="U977" t="s">
        <v>13356</v>
      </c>
      <c r="V977" t="s">
        <v>13357</v>
      </c>
      <c r="W977" t="s">
        <v>13358</v>
      </c>
      <c r="X977" t="s">
        <v>74</v>
      </c>
      <c r="Y977" t="s">
        <v>13359</v>
      </c>
      <c r="Z977" t="s">
        <v>74</v>
      </c>
      <c r="AA977" t="s">
        <v>13360</v>
      </c>
      <c r="AB977" t="s">
        <v>13361</v>
      </c>
      <c r="AC977" t="s">
        <v>74</v>
      </c>
      <c r="AD977" t="s">
        <v>74</v>
      </c>
      <c r="AE977" t="s">
        <v>74</v>
      </c>
      <c r="AF977" t="s">
        <v>74</v>
      </c>
      <c r="AG977">
        <v>59</v>
      </c>
      <c r="AH977">
        <v>54</v>
      </c>
      <c r="AI977">
        <v>63</v>
      </c>
      <c r="AJ977">
        <v>0</v>
      </c>
      <c r="AK977">
        <v>39</v>
      </c>
      <c r="AL977" t="s">
        <v>1259</v>
      </c>
      <c r="AM977" t="s">
        <v>561</v>
      </c>
      <c r="AN977" t="s">
        <v>1260</v>
      </c>
      <c r="AO977" t="s">
        <v>6397</v>
      </c>
      <c r="AP977" t="s">
        <v>74</v>
      </c>
      <c r="AQ977" t="s">
        <v>74</v>
      </c>
      <c r="AR977" t="s">
        <v>6398</v>
      </c>
      <c r="AS977" t="s">
        <v>6399</v>
      </c>
      <c r="AT977" t="s">
        <v>12719</v>
      </c>
      <c r="AU977">
        <v>2002</v>
      </c>
      <c r="AV977">
        <v>141</v>
      </c>
      <c r="AW977">
        <v>1</v>
      </c>
      <c r="AX977" t="s">
        <v>74</v>
      </c>
      <c r="AY977" t="s">
        <v>74</v>
      </c>
      <c r="AZ977" t="s">
        <v>74</v>
      </c>
      <c r="BA977" t="s">
        <v>74</v>
      </c>
      <c r="BB977">
        <v>89</v>
      </c>
      <c r="BC977">
        <v>99</v>
      </c>
      <c r="BD977" t="s">
        <v>74</v>
      </c>
      <c r="BE977" t="s">
        <v>13362</v>
      </c>
      <c r="BF977" t="str">
        <f>HYPERLINK("http://dx.doi.org/10.1007/s00227-002-0815-8","http://dx.doi.org/10.1007/s00227-002-0815-8")</f>
        <v>http://dx.doi.org/10.1007/s00227-002-0815-8</v>
      </c>
      <c r="BG977" t="s">
        <v>74</v>
      </c>
      <c r="BH977" t="s">
        <v>74</v>
      </c>
      <c r="BI977">
        <v>11</v>
      </c>
      <c r="BJ977" t="s">
        <v>989</v>
      </c>
      <c r="BK977" t="s">
        <v>569</v>
      </c>
      <c r="BL977" t="s">
        <v>989</v>
      </c>
      <c r="BM977" t="s">
        <v>13352</v>
      </c>
      <c r="BN977" t="s">
        <v>74</v>
      </c>
      <c r="BO977" t="s">
        <v>74</v>
      </c>
      <c r="BP977" t="s">
        <v>74</v>
      </c>
      <c r="BQ977" t="s">
        <v>74</v>
      </c>
      <c r="BR977" t="s">
        <v>98</v>
      </c>
      <c r="BS977" t="s">
        <v>13363</v>
      </c>
      <c r="BT977" t="str">
        <f>HYPERLINK("https%3A%2F%2Fwww.webofscience.com%2Fwos%2Fwoscc%2Ffull-record%2FWOS:000177239300010","View Full Record in Web of Science")</f>
        <v>View Full Record in Web of Science</v>
      </c>
    </row>
    <row r="978" spans="1:72" x14ac:dyDescent="0.15">
      <c r="A978" t="s">
        <v>552</v>
      </c>
      <c r="B978" t="s">
        <v>13364</v>
      </c>
      <c r="C978" t="s">
        <v>74</v>
      </c>
      <c r="D978" t="s">
        <v>74</v>
      </c>
      <c r="E978" t="s">
        <v>74</v>
      </c>
      <c r="F978" t="s">
        <v>13364</v>
      </c>
      <c r="G978" t="s">
        <v>74</v>
      </c>
      <c r="H978" t="s">
        <v>74</v>
      </c>
      <c r="I978" t="s">
        <v>13365</v>
      </c>
      <c r="J978" t="s">
        <v>6392</v>
      </c>
      <c r="K978" t="s">
        <v>74</v>
      </c>
      <c r="L978" t="s">
        <v>74</v>
      </c>
      <c r="M978" t="s">
        <v>78</v>
      </c>
      <c r="N978" t="s">
        <v>775</v>
      </c>
      <c r="O978" t="s">
        <v>74</v>
      </c>
      <c r="P978" t="s">
        <v>74</v>
      </c>
      <c r="Q978" t="s">
        <v>74</v>
      </c>
      <c r="R978" t="s">
        <v>74</v>
      </c>
      <c r="S978" t="s">
        <v>74</v>
      </c>
      <c r="T978" t="s">
        <v>74</v>
      </c>
      <c r="U978" t="s">
        <v>13366</v>
      </c>
      <c r="V978" t="s">
        <v>13367</v>
      </c>
      <c r="W978" t="s">
        <v>13368</v>
      </c>
      <c r="X978" t="s">
        <v>13369</v>
      </c>
      <c r="Y978" t="s">
        <v>13370</v>
      </c>
      <c r="Z978" t="s">
        <v>13371</v>
      </c>
      <c r="AA978" t="s">
        <v>13372</v>
      </c>
      <c r="AB978" t="s">
        <v>13373</v>
      </c>
      <c r="AC978" t="s">
        <v>74</v>
      </c>
      <c r="AD978" t="s">
        <v>74</v>
      </c>
      <c r="AE978" t="s">
        <v>74</v>
      </c>
      <c r="AF978" t="s">
        <v>74</v>
      </c>
      <c r="AG978">
        <v>58</v>
      </c>
      <c r="AH978">
        <v>41</v>
      </c>
      <c r="AI978">
        <v>45</v>
      </c>
      <c r="AJ978">
        <v>0</v>
      </c>
      <c r="AK978">
        <v>18</v>
      </c>
      <c r="AL978" t="s">
        <v>4121</v>
      </c>
      <c r="AM978" t="s">
        <v>4122</v>
      </c>
      <c r="AN978" t="s">
        <v>4123</v>
      </c>
      <c r="AO978" t="s">
        <v>6397</v>
      </c>
      <c r="AP978" t="s">
        <v>7943</v>
      </c>
      <c r="AQ978" t="s">
        <v>74</v>
      </c>
      <c r="AR978" t="s">
        <v>6398</v>
      </c>
      <c r="AS978" t="s">
        <v>6399</v>
      </c>
      <c r="AT978" t="s">
        <v>12719</v>
      </c>
      <c r="AU978">
        <v>2002</v>
      </c>
      <c r="AV978">
        <v>141</v>
      </c>
      <c r="AW978">
        <v>1</v>
      </c>
      <c r="AX978" t="s">
        <v>74</v>
      </c>
      <c r="AY978" t="s">
        <v>74</v>
      </c>
      <c r="AZ978" t="s">
        <v>74</v>
      </c>
      <c r="BA978" t="s">
        <v>74</v>
      </c>
      <c r="BB978">
        <v>101</v>
      </c>
      <c r="BC978">
        <v>109</v>
      </c>
      <c r="BD978" t="s">
        <v>74</v>
      </c>
      <c r="BE978" t="s">
        <v>13374</v>
      </c>
      <c r="BF978" t="str">
        <f>HYPERLINK("http://dx.doi.org/10.1007/s00227-002-0816-7","http://dx.doi.org/10.1007/s00227-002-0816-7")</f>
        <v>http://dx.doi.org/10.1007/s00227-002-0816-7</v>
      </c>
      <c r="BG978" t="s">
        <v>74</v>
      </c>
      <c r="BH978" t="s">
        <v>74</v>
      </c>
      <c r="BI978">
        <v>9</v>
      </c>
      <c r="BJ978" t="s">
        <v>989</v>
      </c>
      <c r="BK978" t="s">
        <v>569</v>
      </c>
      <c r="BL978" t="s">
        <v>989</v>
      </c>
      <c r="BM978" t="s">
        <v>13352</v>
      </c>
      <c r="BN978" t="s">
        <v>74</v>
      </c>
      <c r="BO978" t="s">
        <v>74</v>
      </c>
      <c r="BP978" t="s">
        <v>74</v>
      </c>
      <c r="BQ978" t="s">
        <v>74</v>
      </c>
      <c r="BR978" t="s">
        <v>98</v>
      </c>
      <c r="BS978" t="s">
        <v>13375</v>
      </c>
      <c r="BT978" t="str">
        <f>HYPERLINK("https%3A%2F%2Fwww.webofscience.com%2Fwos%2Fwoscc%2Ffull-record%2FWOS:000177239300011","View Full Record in Web of Science")</f>
        <v>View Full Record in Web of Science</v>
      </c>
    </row>
    <row r="979" spans="1:72" x14ac:dyDescent="0.15">
      <c r="A979" t="s">
        <v>552</v>
      </c>
      <c r="B979" t="s">
        <v>13376</v>
      </c>
      <c r="C979" t="s">
        <v>74</v>
      </c>
      <c r="D979" t="s">
        <v>74</v>
      </c>
      <c r="E979" t="s">
        <v>74</v>
      </c>
      <c r="F979" t="s">
        <v>13376</v>
      </c>
      <c r="G979" t="s">
        <v>74</v>
      </c>
      <c r="H979" t="s">
        <v>74</v>
      </c>
      <c r="I979" t="s">
        <v>13377</v>
      </c>
      <c r="J979" t="s">
        <v>13378</v>
      </c>
      <c r="K979" t="s">
        <v>74</v>
      </c>
      <c r="L979" t="s">
        <v>74</v>
      </c>
      <c r="M979" t="s">
        <v>78</v>
      </c>
      <c r="N979" t="s">
        <v>775</v>
      </c>
      <c r="O979" t="s">
        <v>74</v>
      </c>
      <c r="P979" t="s">
        <v>74</v>
      </c>
      <c r="Q979" t="s">
        <v>74</v>
      </c>
      <c r="R979" t="s">
        <v>74</v>
      </c>
      <c r="S979" t="s">
        <v>74</v>
      </c>
      <c r="T979" t="s">
        <v>13379</v>
      </c>
      <c r="U979" t="s">
        <v>74</v>
      </c>
      <c r="V979" t="s">
        <v>13380</v>
      </c>
      <c r="W979" t="s">
        <v>13381</v>
      </c>
      <c r="X979" t="s">
        <v>13382</v>
      </c>
      <c r="Y979" t="s">
        <v>13383</v>
      </c>
      <c r="Z979" t="s">
        <v>74</v>
      </c>
      <c r="AA979" t="s">
        <v>13384</v>
      </c>
      <c r="AB979" t="s">
        <v>13385</v>
      </c>
      <c r="AC979" t="s">
        <v>74</v>
      </c>
      <c r="AD979" t="s">
        <v>74</v>
      </c>
      <c r="AE979" t="s">
        <v>74</v>
      </c>
      <c r="AF979" t="s">
        <v>74</v>
      </c>
      <c r="AG979">
        <v>38</v>
      </c>
      <c r="AH979">
        <v>27</v>
      </c>
      <c r="AI979">
        <v>32</v>
      </c>
      <c r="AJ979">
        <v>1</v>
      </c>
      <c r="AK979">
        <v>26</v>
      </c>
      <c r="AL979" t="s">
        <v>13386</v>
      </c>
      <c r="AM979" t="s">
        <v>3784</v>
      </c>
      <c r="AN979" t="s">
        <v>13387</v>
      </c>
      <c r="AO979" t="s">
        <v>13388</v>
      </c>
      <c r="AP979" t="s">
        <v>74</v>
      </c>
      <c r="AQ979" t="s">
        <v>74</v>
      </c>
      <c r="AR979" t="s">
        <v>13389</v>
      </c>
      <c r="AS979" t="s">
        <v>13390</v>
      </c>
      <c r="AT979" t="s">
        <v>12719</v>
      </c>
      <c r="AU979">
        <v>2002</v>
      </c>
      <c r="AV979">
        <v>18</v>
      </c>
      <c r="AW979">
        <v>3</v>
      </c>
      <c r="AX979" t="s">
        <v>74</v>
      </c>
      <c r="AY979" t="s">
        <v>74</v>
      </c>
      <c r="AZ979" t="s">
        <v>74</v>
      </c>
      <c r="BA979" t="s">
        <v>74</v>
      </c>
      <c r="BB979">
        <v>622</v>
      </c>
      <c r="BC979">
        <v>643</v>
      </c>
      <c r="BD979" t="s">
        <v>74</v>
      </c>
      <c r="BE979" t="s">
        <v>13391</v>
      </c>
      <c r="BF979" t="str">
        <f>HYPERLINK("http://dx.doi.org/10.1111/j.1748-7692.2002.tb01063.x","http://dx.doi.org/10.1111/j.1748-7692.2002.tb01063.x")</f>
        <v>http://dx.doi.org/10.1111/j.1748-7692.2002.tb01063.x</v>
      </c>
      <c r="BG979" t="s">
        <v>74</v>
      </c>
      <c r="BH979" t="s">
        <v>74</v>
      </c>
      <c r="BI979">
        <v>22</v>
      </c>
      <c r="BJ979" t="s">
        <v>13392</v>
      </c>
      <c r="BK979" t="s">
        <v>569</v>
      </c>
      <c r="BL979" t="s">
        <v>13392</v>
      </c>
      <c r="BM979" t="s">
        <v>13393</v>
      </c>
      <c r="BN979" t="s">
        <v>74</v>
      </c>
      <c r="BO979" t="s">
        <v>74</v>
      </c>
      <c r="BP979" t="s">
        <v>74</v>
      </c>
      <c r="BQ979" t="s">
        <v>74</v>
      </c>
      <c r="BR979" t="s">
        <v>98</v>
      </c>
      <c r="BS979" t="s">
        <v>13394</v>
      </c>
      <c r="BT979" t="str">
        <f>HYPERLINK("https%3A%2F%2Fwww.webofscience.com%2Fwos%2Fwoscc%2Ffull-record%2FWOS:000176630200003","View Full Record in Web of Science")</f>
        <v>View Full Record in Web of Science</v>
      </c>
    </row>
    <row r="980" spans="1:72" x14ac:dyDescent="0.15">
      <c r="A980" t="s">
        <v>552</v>
      </c>
      <c r="B980" t="s">
        <v>13395</v>
      </c>
      <c r="C980" t="s">
        <v>74</v>
      </c>
      <c r="D980" t="s">
        <v>74</v>
      </c>
      <c r="E980" t="s">
        <v>74</v>
      </c>
      <c r="F980" t="s">
        <v>13395</v>
      </c>
      <c r="G980" t="s">
        <v>74</v>
      </c>
      <c r="H980" t="s">
        <v>74</v>
      </c>
      <c r="I980" t="s">
        <v>13396</v>
      </c>
      <c r="J980" t="s">
        <v>13378</v>
      </c>
      <c r="K980" t="s">
        <v>74</v>
      </c>
      <c r="L980" t="s">
        <v>74</v>
      </c>
      <c r="M980" t="s">
        <v>78</v>
      </c>
      <c r="N980" t="s">
        <v>775</v>
      </c>
      <c r="O980" t="s">
        <v>74</v>
      </c>
      <c r="P980" t="s">
        <v>74</v>
      </c>
      <c r="Q980" t="s">
        <v>74</v>
      </c>
      <c r="R980" t="s">
        <v>74</v>
      </c>
      <c r="S980" t="s">
        <v>74</v>
      </c>
      <c r="T980" t="s">
        <v>13397</v>
      </c>
      <c r="U980" t="s">
        <v>13398</v>
      </c>
      <c r="V980" t="s">
        <v>13399</v>
      </c>
      <c r="W980" t="s">
        <v>13400</v>
      </c>
      <c r="X980" t="s">
        <v>13401</v>
      </c>
      <c r="Y980" t="s">
        <v>13402</v>
      </c>
      <c r="Z980" t="s">
        <v>74</v>
      </c>
      <c r="AA980" t="s">
        <v>13403</v>
      </c>
      <c r="AB980" t="s">
        <v>13404</v>
      </c>
      <c r="AC980" t="s">
        <v>74</v>
      </c>
      <c r="AD980" t="s">
        <v>74</v>
      </c>
      <c r="AE980" t="s">
        <v>74</v>
      </c>
      <c r="AF980" t="s">
        <v>74</v>
      </c>
      <c r="AG980">
        <v>33</v>
      </c>
      <c r="AH980">
        <v>70</v>
      </c>
      <c r="AI980">
        <v>76</v>
      </c>
      <c r="AJ980">
        <v>0</v>
      </c>
      <c r="AK980">
        <v>18</v>
      </c>
      <c r="AL980" t="s">
        <v>13386</v>
      </c>
      <c r="AM980" t="s">
        <v>3784</v>
      </c>
      <c r="AN980" t="s">
        <v>13387</v>
      </c>
      <c r="AO980" t="s">
        <v>13388</v>
      </c>
      <c r="AP980" t="s">
        <v>74</v>
      </c>
      <c r="AQ980" t="s">
        <v>74</v>
      </c>
      <c r="AR980" t="s">
        <v>13389</v>
      </c>
      <c r="AS980" t="s">
        <v>13390</v>
      </c>
      <c r="AT980" t="s">
        <v>12719</v>
      </c>
      <c r="AU980">
        <v>2002</v>
      </c>
      <c r="AV980">
        <v>18</v>
      </c>
      <c r="AW980">
        <v>3</v>
      </c>
      <c r="AX980" t="s">
        <v>74</v>
      </c>
      <c r="AY980" t="s">
        <v>74</v>
      </c>
      <c r="AZ980" t="s">
        <v>74</v>
      </c>
      <c r="BA980" t="s">
        <v>74</v>
      </c>
      <c r="BB980">
        <v>680</v>
      </c>
      <c r="BC980">
        <v>697</v>
      </c>
      <c r="BD980" t="s">
        <v>74</v>
      </c>
      <c r="BE980" t="s">
        <v>13405</v>
      </c>
      <c r="BF980" t="str">
        <f>HYPERLINK("http://dx.doi.org/10.1111/j.1748-7692.2002.tb01066.x","http://dx.doi.org/10.1111/j.1748-7692.2002.tb01066.x")</f>
        <v>http://dx.doi.org/10.1111/j.1748-7692.2002.tb01066.x</v>
      </c>
      <c r="BG980" t="s">
        <v>74</v>
      </c>
      <c r="BH980" t="s">
        <v>74</v>
      </c>
      <c r="BI980">
        <v>18</v>
      </c>
      <c r="BJ980" t="s">
        <v>13392</v>
      </c>
      <c r="BK980" t="s">
        <v>569</v>
      </c>
      <c r="BL980" t="s">
        <v>13392</v>
      </c>
      <c r="BM980" t="s">
        <v>13393</v>
      </c>
      <c r="BN980" t="s">
        <v>74</v>
      </c>
      <c r="BO980" t="s">
        <v>590</v>
      </c>
      <c r="BP980" t="s">
        <v>74</v>
      </c>
      <c r="BQ980" t="s">
        <v>74</v>
      </c>
      <c r="BR980" t="s">
        <v>98</v>
      </c>
      <c r="BS980" t="s">
        <v>13406</v>
      </c>
      <c r="BT980" t="str">
        <f>HYPERLINK("https%3A%2F%2Fwww.webofscience.com%2Fwos%2Fwoscc%2Ffull-record%2FWOS:000176630200006","View Full Record in Web of Science")</f>
        <v>View Full Record in Web of Science</v>
      </c>
    </row>
    <row r="981" spans="1:72" x14ac:dyDescent="0.15">
      <c r="A981" t="s">
        <v>552</v>
      </c>
      <c r="B981" t="s">
        <v>13407</v>
      </c>
      <c r="C981" t="s">
        <v>74</v>
      </c>
      <c r="D981" t="s">
        <v>74</v>
      </c>
      <c r="E981" t="s">
        <v>74</v>
      </c>
      <c r="F981" t="s">
        <v>13407</v>
      </c>
      <c r="G981" t="s">
        <v>74</v>
      </c>
      <c r="H981" t="s">
        <v>74</v>
      </c>
      <c r="I981" t="s">
        <v>13408</v>
      </c>
      <c r="J981" t="s">
        <v>7949</v>
      </c>
      <c r="K981" t="s">
        <v>74</v>
      </c>
      <c r="L981" t="s">
        <v>74</v>
      </c>
      <c r="M981" t="s">
        <v>78</v>
      </c>
      <c r="N981" t="s">
        <v>775</v>
      </c>
      <c r="O981" t="s">
        <v>74</v>
      </c>
      <c r="P981" t="s">
        <v>74</v>
      </c>
      <c r="Q981" t="s">
        <v>74</v>
      </c>
      <c r="R981" t="s">
        <v>74</v>
      </c>
      <c r="S981" t="s">
        <v>74</v>
      </c>
      <c r="T981" t="s">
        <v>13409</v>
      </c>
      <c r="U981" t="s">
        <v>13410</v>
      </c>
      <c r="V981" t="s">
        <v>13411</v>
      </c>
      <c r="W981" t="s">
        <v>4416</v>
      </c>
      <c r="X981" t="s">
        <v>584</v>
      </c>
      <c r="Y981" t="s">
        <v>3481</v>
      </c>
      <c r="Z981" t="s">
        <v>13412</v>
      </c>
      <c r="AA981" t="s">
        <v>74</v>
      </c>
      <c r="AB981" t="s">
        <v>74</v>
      </c>
      <c r="AC981" t="s">
        <v>74</v>
      </c>
      <c r="AD981" t="s">
        <v>74</v>
      </c>
      <c r="AE981" t="s">
        <v>74</v>
      </c>
      <c r="AF981" t="s">
        <v>74</v>
      </c>
      <c r="AG981">
        <v>97</v>
      </c>
      <c r="AH981">
        <v>59</v>
      </c>
      <c r="AI981">
        <v>71</v>
      </c>
      <c r="AJ981">
        <v>0</v>
      </c>
      <c r="AK981">
        <v>8</v>
      </c>
      <c r="AL981" t="s">
        <v>3155</v>
      </c>
      <c r="AM981" t="s">
        <v>1861</v>
      </c>
      <c r="AN981" t="s">
        <v>3156</v>
      </c>
      <c r="AO981" t="s">
        <v>7959</v>
      </c>
      <c r="AP981" t="s">
        <v>10714</v>
      </c>
      <c r="AQ981" t="s">
        <v>74</v>
      </c>
      <c r="AR981" t="s">
        <v>7960</v>
      </c>
      <c r="AS981" t="s">
        <v>7961</v>
      </c>
      <c r="AT981" t="s">
        <v>12719</v>
      </c>
      <c r="AU981">
        <v>2002</v>
      </c>
      <c r="AV981">
        <v>45</v>
      </c>
      <c r="AW981" t="s">
        <v>1424</v>
      </c>
      <c r="AX981" t="s">
        <v>74</v>
      </c>
      <c r="AY981" t="s">
        <v>74</v>
      </c>
      <c r="AZ981" t="s">
        <v>3067</v>
      </c>
      <c r="BA981" t="s">
        <v>74</v>
      </c>
      <c r="BB981">
        <v>225</v>
      </c>
      <c r="BC981">
        <v>268</v>
      </c>
      <c r="BD981" t="s">
        <v>13413</v>
      </c>
      <c r="BE981" t="s">
        <v>13414</v>
      </c>
      <c r="BF981" t="str">
        <f>HYPERLINK("http://dx.doi.org/10.1016/S0377-8398(02)00031-2","http://dx.doi.org/10.1016/S0377-8398(02)00031-2")</f>
        <v>http://dx.doi.org/10.1016/S0377-8398(02)00031-2</v>
      </c>
      <c r="BG981" t="s">
        <v>74</v>
      </c>
      <c r="BH981" t="s">
        <v>74</v>
      </c>
      <c r="BI981">
        <v>44</v>
      </c>
      <c r="BJ981" t="s">
        <v>3069</v>
      </c>
      <c r="BK981" t="s">
        <v>569</v>
      </c>
      <c r="BL981" t="s">
        <v>3069</v>
      </c>
      <c r="BM981" t="s">
        <v>13415</v>
      </c>
      <c r="BN981" t="s">
        <v>74</v>
      </c>
      <c r="BO981" t="s">
        <v>74</v>
      </c>
      <c r="BP981" t="s">
        <v>74</v>
      </c>
      <c r="BQ981" t="s">
        <v>74</v>
      </c>
      <c r="BR981" t="s">
        <v>98</v>
      </c>
      <c r="BS981" t="s">
        <v>13416</v>
      </c>
      <c r="BT981" t="str">
        <f>HYPERLINK("https%3A%2F%2Fwww.webofscience.com%2Fwos%2Fwoscc%2Ffull-record%2FWOS:000177821400002","View Full Record in Web of Science")</f>
        <v>View Full Record in Web of Science</v>
      </c>
    </row>
    <row r="982" spans="1:72" x14ac:dyDescent="0.15">
      <c r="A982" t="s">
        <v>552</v>
      </c>
      <c r="B982" t="s">
        <v>13417</v>
      </c>
      <c r="C982" t="s">
        <v>74</v>
      </c>
      <c r="D982" t="s">
        <v>74</v>
      </c>
      <c r="E982" t="s">
        <v>74</v>
      </c>
      <c r="F982" t="s">
        <v>13417</v>
      </c>
      <c r="G982" t="s">
        <v>74</v>
      </c>
      <c r="H982" t="s">
        <v>74</v>
      </c>
      <c r="I982" t="s">
        <v>13418</v>
      </c>
      <c r="J982" t="s">
        <v>7949</v>
      </c>
      <c r="K982" t="s">
        <v>74</v>
      </c>
      <c r="L982" t="s">
        <v>74</v>
      </c>
      <c r="M982" t="s">
        <v>78</v>
      </c>
      <c r="N982" t="s">
        <v>1114</v>
      </c>
      <c r="O982" t="s">
        <v>74</v>
      </c>
      <c r="P982" t="s">
        <v>74</v>
      </c>
      <c r="Q982" t="s">
        <v>74</v>
      </c>
      <c r="R982" t="s">
        <v>74</v>
      </c>
      <c r="S982" t="s">
        <v>74</v>
      </c>
      <c r="T982" t="s">
        <v>13419</v>
      </c>
      <c r="U982" t="s">
        <v>13420</v>
      </c>
      <c r="V982" t="s">
        <v>13421</v>
      </c>
      <c r="W982" t="s">
        <v>583</v>
      </c>
      <c r="X982" t="s">
        <v>584</v>
      </c>
      <c r="Y982" t="s">
        <v>13422</v>
      </c>
      <c r="Z982" t="s">
        <v>13423</v>
      </c>
      <c r="AA982" t="s">
        <v>74</v>
      </c>
      <c r="AB982" t="s">
        <v>74</v>
      </c>
      <c r="AC982" t="s">
        <v>74</v>
      </c>
      <c r="AD982" t="s">
        <v>74</v>
      </c>
      <c r="AE982" t="s">
        <v>74</v>
      </c>
      <c r="AF982" t="s">
        <v>74</v>
      </c>
      <c r="AG982">
        <v>102</v>
      </c>
      <c r="AH982">
        <v>30</v>
      </c>
      <c r="AI982">
        <v>36</v>
      </c>
      <c r="AJ982">
        <v>0</v>
      </c>
      <c r="AK982">
        <v>8</v>
      </c>
      <c r="AL982" t="s">
        <v>3155</v>
      </c>
      <c r="AM982" t="s">
        <v>1861</v>
      </c>
      <c r="AN982" t="s">
        <v>3156</v>
      </c>
      <c r="AO982" t="s">
        <v>7959</v>
      </c>
      <c r="AP982" t="s">
        <v>10714</v>
      </c>
      <c r="AQ982" t="s">
        <v>74</v>
      </c>
      <c r="AR982" t="s">
        <v>7960</v>
      </c>
      <c r="AS982" t="s">
        <v>7961</v>
      </c>
      <c r="AT982" t="s">
        <v>12719</v>
      </c>
      <c r="AU982">
        <v>2002</v>
      </c>
      <c r="AV982">
        <v>45</v>
      </c>
      <c r="AW982" t="s">
        <v>1424</v>
      </c>
      <c r="AX982" t="s">
        <v>74</v>
      </c>
      <c r="AY982" t="s">
        <v>74</v>
      </c>
      <c r="AZ982" t="s">
        <v>3067</v>
      </c>
      <c r="BA982" t="s">
        <v>74</v>
      </c>
      <c r="BB982">
        <v>309</v>
      </c>
      <c r="BC982">
        <v>356</v>
      </c>
      <c r="BD982" t="s">
        <v>13424</v>
      </c>
      <c r="BE982" t="s">
        <v>13425</v>
      </c>
      <c r="BF982" t="str">
        <f>HYPERLINK("http://dx.doi.org/10.1016/S0377-8398(02)00034-8","http://dx.doi.org/10.1016/S0377-8398(02)00034-8")</f>
        <v>http://dx.doi.org/10.1016/S0377-8398(02)00034-8</v>
      </c>
      <c r="BG982" t="s">
        <v>74</v>
      </c>
      <c r="BH982" t="s">
        <v>74</v>
      </c>
      <c r="BI982">
        <v>48</v>
      </c>
      <c r="BJ982" t="s">
        <v>3069</v>
      </c>
      <c r="BK982" t="s">
        <v>569</v>
      </c>
      <c r="BL982" t="s">
        <v>3069</v>
      </c>
      <c r="BM982" t="s">
        <v>13415</v>
      </c>
      <c r="BN982" t="s">
        <v>74</v>
      </c>
      <c r="BO982" t="s">
        <v>74</v>
      </c>
      <c r="BP982" t="s">
        <v>74</v>
      </c>
      <c r="BQ982" t="s">
        <v>74</v>
      </c>
      <c r="BR982" t="s">
        <v>98</v>
      </c>
      <c r="BS982" t="s">
        <v>13426</v>
      </c>
      <c r="BT982" t="str">
        <f>HYPERLINK("https%3A%2F%2Fwww.webofscience.com%2Fwos%2Fwoscc%2Ffull-record%2FWOS:000177821400005","View Full Record in Web of Science")</f>
        <v>View Full Record in Web of Science</v>
      </c>
    </row>
    <row r="983" spans="1:72" x14ac:dyDescent="0.15">
      <c r="A983" t="s">
        <v>552</v>
      </c>
      <c r="B983" t="s">
        <v>13427</v>
      </c>
      <c r="C983" t="s">
        <v>74</v>
      </c>
      <c r="D983" t="s">
        <v>74</v>
      </c>
      <c r="E983" t="s">
        <v>74</v>
      </c>
      <c r="F983" t="s">
        <v>13427</v>
      </c>
      <c r="G983" t="s">
        <v>74</v>
      </c>
      <c r="H983" t="s">
        <v>74</v>
      </c>
      <c r="I983" t="s">
        <v>13428</v>
      </c>
      <c r="J983" t="s">
        <v>7949</v>
      </c>
      <c r="K983" t="s">
        <v>74</v>
      </c>
      <c r="L983" t="s">
        <v>74</v>
      </c>
      <c r="M983" t="s">
        <v>78</v>
      </c>
      <c r="N983" t="s">
        <v>775</v>
      </c>
      <c r="O983" t="s">
        <v>74</v>
      </c>
      <c r="P983" t="s">
        <v>74</v>
      </c>
      <c r="Q983" t="s">
        <v>74</v>
      </c>
      <c r="R983" t="s">
        <v>74</v>
      </c>
      <c r="S983" t="s">
        <v>74</v>
      </c>
      <c r="T983" t="s">
        <v>13429</v>
      </c>
      <c r="U983" t="s">
        <v>13430</v>
      </c>
      <c r="V983" t="s">
        <v>13431</v>
      </c>
      <c r="W983" t="s">
        <v>13432</v>
      </c>
      <c r="X983" t="s">
        <v>13433</v>
      </c>
      <c r="Y983" t="s">
        <v>13434</v>
      </c>
      <c r="Z983" t="s">
        <v>74</v>
      </c>
      <c r="AA983" t="s">
        <v>74</v>
      </c>
      <c r="AB983" t="s">
        <v>13435</v>
      </c>
      <c r="AC983" t="s">
        <v>74</v>
      </c>
      <c r="AD983" t="s">
        <v>74</v>
      </c>
      <c r="AE983" t="s">
        <v>74</v>
      </c>
      <c r="AF983" t="s">
        <v>74</v>
      </c>
      <c r="AG983">
        <v>50</v>
      </c>
      <c r="AH983">
        <v>14</v>
      </c>
      <c r="AI983">
        <v>17</v>
      </c>
      <c r="AJ983">
        <v>0</v>
      </c>
      <c r="AK983">
        <v>8</v>
      </c>
      <c r="AL983" t="s">
        <v>1860</v>
      </c>
      <c r="AM983" t="s">
        <v>1861</v>
      </c>
      <c r="AN983" t="s">
        <v>1862</v>
      </c>
      <c r="AO983" t="s">
        <v>7959</v>
      </c>
      <c r="AP983" t="s">
        <v>74</v>
      </c>
      <c r="AQ983" t="s">
        <v>74</v>
      </c>
      <c r="AR983" t="s">
        <v>7960</v>
      </c>
      <c r="AS983" t="s">
        <v>7961</v>
      </c>
      <c r="AT983" t="s">
        <v>12719</v>
      </c>
      <c r="AU983">
        <v>2002</v>
      </c>
      <c r="AV983">
        <v>45</v>
      </c>
      <c r="AW983" t="s">
        <v>1424</v>
      </c>
      <c r="AX983" t="s">
        <v>74</v>
      </c>
      <c r="AY983" t="s">
        <v>74</v>
      </c>
      <c r="AZ983" t="s">
        <v>3067</v>
      </c>
      <c r="BA983" t="s">
        <v>74</v>
      </c>
      <c r="BB983">
        <v>357</v>
      </c>
      <c r="BC983">
        <v>381</v>
      </c>
      <c r="BD983" t="s">
        <v>13436</v>
      </c>
      <c r="BE983" t="s">
        <v>13437</v>
      </c>
      <c r="BF983" t="str">
        <f>HYPERLINK("http://dx.doi.org/10.1016/S0377-8398(02)00035-X","http://dx.doi.org/10.1016/S0377-8398(02)00035-X")</f>
        <v>http://dx.doi.org/10.1016/S0377-8398(02)00035-X</v>
      </c>
      <c r="BG983" t="s">
        <v>74</v>
      </c>
      <c r="BH983" t="s">
        <v>74</v>
      </c>
      <c r="BI983">
        <v>25</v>
      </c>
      <c r="BJ983" t="s">
        <v>3069</v>
      </c>
      <c r="BK983" t="s">
        <v>569</v>
      </c>
      <c r="BL983" t="s">
        <v>3069</v>
      </c>
      <c r="BM983" t="s">
        <v>13415</v>
      </c>
      <c r="BN983" t="s">
        <v>74</v>
      </c>
      <c r="BO983" t="s">
        <v>74</v>
      </c>
      <c r="BP983" t="s">
        <v>74</v>
      </c>
      <c r="BQ983" t="s">
        <v>74</v>
      </c>
      <c r="BR983" t="s">
        <v>98</v>
      </c>
      <c r="BS983" t="s">
        <v>13438</v>
      </c>
      <c r="BT983" t="str">
        <f>HYPERLINK("https%3A%2F%2Fwww.webofscience.com%2Fwos%2Fwoscc%2Ffull-record%2FWOS:000177821400006","View Full Record in Web of Science")</f>
        <v>View Full Record in Web of Science</v>
      </c>
    </row>
    <row r="984" spans="1:72" x14ac:dyDescent="0.15">
      <c r="A984" t="s">
        <v>552</v>
      </c>
      <c r="B984" t="s">
        <v>13439</v>
      </c>
      <c r="C984" t="s">
        <v>74</v>
      </c>
      <c r="D984" t="s">
        <v>74</v>
      </c>
      <c r="E984" t="s">
        <v>74</v>
      </c>
      <c r="F984" t="s">
        <v>13439</v>
      </c>
      <c r="G984" t="s">
        <v>74</v>
      </c>
      <c r="H984" t="s">
        <v>74</v>
      </c>
      <c r="I984" t="s">
        <v>13440</v>
      </c>
      <c r="J984" t="s">
        <v>7949</v>
      </c>
      <c r="K984" t="s">
        <v>74</v>
      </c>
      <c r="L984" t="s">
        <v>74</v>
      </c>
      <c r="M984" t="s">
        <v>78</v>
      </c>
      <c r="N984" t="s">
        <v>775</v>
      </c>
      <c r="O984" t="s">
        <v>74</v>
      </c>
      <c r="P984" t="s">
        <v>74</v>
      </c>
      <c r="Q984" t="s">
        <v>74</v>
      </c>
      <c r="R984" t="s">
        <v>74</v>
      </c>
      <c r="S984" t="s">
        <v>74</v>
      </c>
      <c r="T984" t="s">
        <v>13441</v>
      </c>
      <c r="U984" t="s">
        <v>13442</v>
      </c>
      <c r="V984" t="s">
        <v>13443</v>
      </c>
      <c r="W984" t="s">
        <v>13444</v>
      </c>
      <c r="X984" t="s">
        <v>74</v>
      </c>
      <c r="Y984" t="s">
        <v>13445</v>
      </c>
      <c r="Z984" t="s">
        <v>13446</v>
      </c>
      <c r="AA984" t="s">
        <v>13447</v>
      </c>
      <c r="AB984" t="s">
        <v>13448</v>
      </c>
      <c r="AC984" t="s">
        <v>74</v>
      </c>
      <c r="AD984" t="s">
        <v>74</v>
      </c>
      <c r="AE984" t="s">
        <v>74</v>
      </c>
      <c r="AF984" t="s">
        <v>74</v>
      </c>
      <c r="AG984">
        <v>40</v>
      </c>
      <c r="AH984">
        <v>44</v>
      </c>
      <c r="AI984">
        <v>53</v>
      </c>
      <c r="AJ984">
        <v>0</v>
      </c>
      <c r="AK984">
        <v>5</v>
      </c>
      <c r="AL984" t="s">
        <v>3155</v>
      </c>
      <c r="AM984" t="s">
        <v>1861</v>
      </c>
      <c r="AN984" t="s">
        <v>3156</v>
      </c>
      <c r="AO984" t="s">
        <v>7959</v>
      </c>
      <c r="AP984" t="s">
        <v>10714</v>
      </c>
      <c r="AQ984" t="s">
        <v>74</v>
      </c>
      <c r="AR984" t="s">
        <v>7960</v>
      </c>
      <c r="AS984" t="s">
        <v>7961</v>
      </c>
      <c r="AT984" t="s">
        <v>12719</v>
      </c>
      <c r="AU984">
        <v>2002</v>
      </c>
      <c r="AV984">
        <v>45</v>
      </c>
      <c r="AW984" t="s">
        <v>1424</v>
      </c>
      <c r="AX984" t="s">
        <v>74</v>
      </c>
      <c r="AY984" t="s">
        <v>74</v>
      </c>
      <c r="AZ984" t="s">
        <v>3067</v>
      </c>
      <c r="BA984" t="s">
        <v>74</v>
      </c>
      <c r="BB984">
        <v>383</v>
      </c>
      <c r="BC984">
        <v>398</v>
      </c>
      <c r="BD984" t="s">
        <v>13449</v>
      </c>
      <c r="BE984" t="s">
        <v>13450</v>
      </c>
      <c r="BF984" t="str">
        <f>HYPERLINK("http://dx.doi.org/10.1016/S0377-8398(02)00036-1","http://dx.doi.org/10.1016/S0377-8398(02)00036-1")</f>
        <v>http://dx.doi.org/10.1016/S0377-8398(02)00036-1</v>
      </c>
      <c r="BG984" t="s">
        <v>74</v>
      </c>
      <c r="BH984" t="s">
        <v>74</v>
      </c>
      <c r="BI984">
        <v>16</v>
      </c>
      <c r="BJ984" t="s">
        <v>3069</v>
      </c>
      <c r="BK984" t="s">
        <v>569</v>
      </c>
      <c r="BL984" t="s">
        <v>3069</v>
      </c>
      <c r="BM984" t="s">
        <v>13415</v>
      </c>
      <c r="BN984" t="s">
        <v>74</v>
      </c>
      <c r="BO984" t="s">
        <v>74</v>
      </c>
      <c r="BP984" t="s">
        <v>74</v>
      </c>
      <c r="BQ984" t="s">
        <v>74</v>
      </c>
      <c r="BR984" t="s">
        <v>98</v>
      </c>
      <c r="BS984" t="s">
        <v>13451</v>
      </c>
      <c r="BT984" t="str">
        <f>HYPERLINK("https%3A%2F%2Fwww.webofscience.com%2Fwos%2Fwoscc%2Ffull-record%2FWOS:000177821400007","View Full Record in Web of Science")</f>
        <v>View Full Record in Web of Science</v>
      </c>
    </row>
    <row r="985" spans="1:72" x14ac:dyDescent="0.15">
      <c r="A985" t="s">
        <v>552</v>
      </c>
      <c r="B985" t="s">
        <v>13452</v>
      </c>
      <c r="C985" t="s">
        <v>74</v>
      </c>
      <c r="D985" t="s">
        <v>74</v>
      </c>
      <c r="E985" t="s">
        <v>74</v>
      </c>
      <c r="F985" t="s">
        <v>13452</v>
      </c>
      <c r="G985" t="s">
        <v>74</v>
      </c>
      <c r="H985" t="s">
        <v>74</v>
      </c>
      <c r="I985" t="s">
        <v>13453</v>
      </c>
      <c r="J985" t="s">
        <v>7968</v>
      </c>
      <c r="K985" t="s">
        <v>74</v>
      </c>
      <c r="L985" t="s">
        <v>74</v>
      </c>
      <c r="M985" t="s">
        <v>78</v>
      </c>
      <c r="N985" t="s">
        <v>775</v>
      </c>
      <c r="O985" t="s">
        <v>74</v>
      </c>
      <c r="P985" t="s">
        <v>74</v>
      </c>
      <c r="Q985" t="s">
        <v>74</v>
      </c>
      <c r="R985" t="s">
        <v>74</v>
      </c>
      <c r="S985" t="s">
        <v>74</v>
      </c>
      <c r="T985" t="s">
        <v>13454</v>
      </c>
      <c r="U985" t="s">
        <v>13455</v>
      </c>
      <c r="V985" t="s">
        <v>13456</v>
      </c>
      <c r="W985" t="s">
        <v>13457</v>
      </c>
      <c r="X985" t="s">
        <v>13458</v>
      </c>
      <c r="Y985" t="s">
        <v>13459</v>
      </c>
      <c r="Z985" t="s">
        <v>13460</v>
      </c>
      <c r="AA985" t="s">
        <v>13461</v>
      </c>
      <c r="AB985" t="s">
        <v>13462</v>
      </c>
      <c r="AC985" t="s">
        <v>74</v>
      </c>
      <c r="AD985" t="s">
        <v>74</v>
      </c>
      <c r="AE985" t="s">
        <v>74</v>
      </c>
      <c r="AF985" t="s">
        <v>74</v>
      </c>
      <c r="AG985">
        <v>23</v>
      </c>
      <c r="AH985">
        <v>6</v>
      </c>
      <c r="AI985">
        <v>8</v>
      </c>
      <c r="AJ985">
        <v>1</v>
      </c>
      <c r="AK985">
        <v>6</v>
      </c>
      <c r="AL985" t="s">
        <v>806</v>
      </c>
      <c r="AM985" t="s">
        <v>807</v>
      </c>
      <c r="AN985" t="s">
        <v>808</v>
      </c>
      <c r="AO985" t="s">
        <v>7975</v>
      </c>
      <c r="AP985" t="s">
        <v>7976</v>
      </c>
      <c r="AQ985" t="s">
        <v>74</v>
      </c>
      <c r="AR985" t="s">
        <v>7977</v>
      </c>
      <c r="AS985" t="s">
        <v>7978</v>
      </c>
      <c r="AT985" t="s">
        <v>12719</v>
      </c>
      <c r="AU985">
        <v>2002</v>
      </c>
      <c r="AV985">
        <v>44</v>
      </c>
      <c r="AW985">
        <v>7</v>
      </c>
      <c r="AX985" t="s">
        <v>74</v>
      </c>
      <c r="AY985" t="s">
        <v>74</v>
      </c>
      <c r="AZ985" t="s">
        <v>74</v>
      </c>
      <c r="BA985" t="s">
        <v>74</v>
      </c>
      <c r="BB985">
        <v>660</v>
      </c>
      <c r="BC985">
        <v>665</v>
      </c>
      <c r="BD985" t="s">
        <v>13463</v>
      </c>
      <c r="BE985" t="s">
        <v>13464</v>
      </c>
      <c r="BF985" t="str">
        <f>HYPERLINK("http://dx.doi.org/10.1016/S0025-326X(01)00322-8","http://dx.doi.org/10.1016/S0025-326X(01)00322-8")</f>
        <v>http://dx.doi.org/10.1016/S0025-326X(01)00322-8</v>
      </c>
      <c r="BG985" t="s">
        <v>74</v>
      </c>
      <c r="BH985" t="s">
        <v>74</v>
      </c>
      <c r="BI985">
        <v>6</v>
      </c>
      <c r="BJ985" t="s">
        <v>7981</v>
      </c>
      <c r="BK985" t="s">
        <v>569</v>
      </c>
      <c r="BL985" t="s">
        <v>7494</v>
      </c>
      <c r="BM985" t="s">
        <v>13465</v>
      </c>
      <c r="BN985">
        <v>12222889</v>
      </c>
      <c r="BO985" t="s">
        <v>74</v>
      </c>
      <c r="BP985" t="s">
        <v>74</v>
      </c>
      <c r="BQ985" t="s">
        <v>74</v>
      </c>
      <c r="BR985" t="s">
        <v>98</v>
      </c>
      <c r="BS985" t="s">
        <v>13466</v>
      </c>
      <c r="BT985" t="str">
        <f>HYPERLINK("https%3A%2F%2Fwww.webofscience.com%2Fwos%2Fwoscc%2Ffull-record%2FWOS:000177488800022","View Full Record in Web of Science")</f>
        <v>View Full Record in Web of Science</v>
      </c>
    </row>
    <row r="986" spans="1:72" x14ac:dyDescent="0.15">
      <c r="A986" t="s">
        <v>552</v>
      </c>
      <c r="B986" t="s">
        <v>13467</v>
      </c>
      <c r="C986" t="s">
        <v>74</v>
      </c>
      <c r="D986" t="s">
        <v>74</v>
      </c>
      <c r="E986" t="s">
        <v>74</v>
      </c>
      <c r="F986" t="s">
        <v>13467</v>
      </c>
      <c r="G986" t="s">
        <v>74</v>
      </c>
      <c r="H986" t="s">
        <v>74</v>
      </c>
      <c r="I986" t="s">
        <v>13468</v>
      </c>
      <c r="J986" t="s">
        <v>3704</v>
      </c>
      <c r="K986" t="s">
        <v>74</v>
      </c>
      <c r="L986" t="s">
        <v>74</v>
      </c>
      <c r="M986" t="s">
        <v>78</v>
      </c>
      <c r="N986" t="s">
        <v>775</v>
      </c>
      <c r="O986" t="s">
        <v>74</v>
      </c>
      <c r="P986" t="s">
        <v>74</v>
      </c>
      <c r="Q986" t="s">
        <v>74</v>
      </c>
      <c r="R986" t="s">
        <v>74</v>
      </c>
      <c r="S986" t="s">
        <v>74</v>
      </c>
      <c r="T986" t="s">
        <v>74</v>
      </c>
      <c r="U986" t="s">
        <v>13469</v>
      </c>
      <c r="V986" t="s">
        <v>13470</v>
      </c>
      <c r="W986" t="s">
        <v>13471</v>
      </c>
      <c r="X986" t="s">
        <v>2205</v>
      </c>
      <c r="Y986" t="s">
        <v>13472</v>
      </c>
      <c r="Z986" t="s">
        <v>74</v>
      </c>
      <c r="AA986" t="s">
        <v>74</v>
      </c>
      <c r="AB986" t="s">
        <v>74</v>
      </c>
      <c r="AC986" t="s">
        <v>74</v>
      </c>
      <c r="AD986" t="s">
        <v>74</v>
      </c>
      <c r="AE986" t="s">
        <v>74</v>
      </c>
      <c r="AF986" t="s">
        <v>74</v>
      </c>
      <c r="AG986">
        <v>74</v>
      </c>
      <c r="AH986">
        <v>36</v>
      </c>
      <c r="AI986">
        <v>38</v>
      </c>
      <c r="AJ986">
        <v>0</v>
      </c>
      <c r="AK986">
        <v>5</v>
      </c>
      <c r="AL986" t="s">
        <v>3710</v>
      </c>
      <c r="AM986" t="s">
        <v>3711</v>
      </c>
      <c r="AN986" t="s">
        <v>3712</v>
      </c>
      <c r="AO986" t="s">
        <v>3713</v>
      </c>
      <c r="AP986" t="s">
        <v>74</v>
      </c>
      <c r="AQ986" t="s">
        <v>74</v>
      </c>
      <c r="AR986" t="s">
        <v>3714</v>
      </c>
      <c r="AS986" t="s">
        <v>3715</v>
      </c>
      <c r="AT986" t="s">
        <v>12719</v>
      </c>
      <c r="AU986">
        <v>2002</v>
      </c>
      <c r="AV986">
        <v>37</v>
      </c>
      <c r="AW986">
        <v>7</v>
      </c>
      <c r="AX986" t="s">
        <v>74</v>
      </c>
      <c r="AY986" t="s">
        <v>74</v>
      </c>
      <c r="AZ986" t="s">
        <v>74</v>
      </c>
      <c r="BA986" t="s">
        <v>74</v>
      </c>
      <c r="BB986">
        <v>911</v>
      </c>
      <c r="BC986">
        <v>936</v>
      </c>
      <c r="BD986" t="s">
        <v>74</v>
      </c>
      <c r="BE986" t="s">
        <v>13473</v>
      </c>
      <c r="BF986" t="str">
        <f>HYPERLINK("http://dx.doi.org/10.1111/j.1945-5100.2002.tb00867.x","http://dx.doi.org/10.1111/j.1945-5100.2002.tb00867.x")</f>
        <v>http://dx.doi.org/10.1111/j.1945-5100.2002.tb00867.x</v>
      </c>
      <c r="BG986" t="s">
        <v>74</v>
      </c>
      <c r="BH986" t="s">
        <v>74</v>
      </c>
      <c r="BI986">
        <v>26</v>
      </c>
      <c r="BJ986" t="s">
        <v>2068</v>
      </c>
      <c r="BK986" t="s">
        <v>569</v>
      </c>
      <c r="BL986" t="s">
        <v>2068</v>
      </c>
      <c r="BM986" t="s">
        <v>13474</v>
      </c>
      <c r="BN986" t="s">
        <v>74</v>
      </c>
      <c r="BO986" t="s">
        <v>572</v>
      </c>
      <c r="BP986" t="s">
        <v>74</v>
      </c>
      <c r="BQ986" t="s">
        <v>74</v>
      </c>
      <c r="BR986" t="s">
        <v>98</v>
      </c>
      <c r="BS986" t="s">
        <v>13475</v>
      </c>
      <c r="BT986" t="str">
        <f>HYPERLINK("https%3A%2F%2Fwww.webofscience.com%2Fwos%2Fwoscc%2Ffull-record%2FWOS:000177152200003","View Full Record in Web of Science")</f>
        <v>View Full Record in Web of Science</v>
      </c>
    </row>
    <row r="987" spans="1:72" x14ac:dyDescent="0.15">
      <c r="A987" t="s">
        <v>552</v>
      </c>
      <c r="B987" t="s">
        <v>13476</v>
      </c>
      <c r="C987" t="s">
        <v>74</v>
      </c>
      <c r="D987" t="s">
        <v>74</v>
      </c>
      <c r="E987" t="s">
        <v>74</v>
      </c>
      <c r="F987" t="s">
        <v>13476</v>
      </c>
      <c r="G987" t="s">
        <v>74</v>
      </c>
      <c r="H987" t="s">
        <v>74</v>
      </c>
      <c r="I987" t="s">
        <v>13477</v>
      </c>
      <c r="J987" t="s">
        <v>3704</v>
      </c>
      <c r="K987" t="s">
        <v>74</v>
      </c>
      <c r="L987" t="s">
        <v>74</v>
      </c>
      <c r="M987" t="s">
        <v>78</v>
      </c>
      <c r="N987" t="s">
        <v>52</v>
      </c>
      <c r="O987" t="s">
        <v>74</v>
      </c>
      <c r="P987" t="s">
        <v>74</v>
      </c>
      <c r="Q987" t="s">
        <v>74</v>
      </c>
      <c r="R987" t="s">
        <v>74</v>
      </c>
      <c r="S987" t="s">
        <v>74</v>
      </c>
      <c r="T987" t="s">
        <v>74</v>
      </c>
      <c r="U987" t="s">
        <v>13478</v>
      </c>
      <c r="V987" t="s">
        <v>74</v>
      </c>
      <c r="W987" t="s">
        <v>13479</v>
      </c>
      <c r="X987" t="s">
        <v>13480</v>
      </c>
      <c r="Y987" t="s">
        <v>74</v>
      </c>
      <c r="Z987" t="s">
        <v>74</v>
      </c>
      <c r="AA987" t="s">
        <v>13481</v>
      </c>
      <c r="AB987" t="s">
        <v>13482</v>
      </c>
      <c r="AC987" t="s">
        <v>74</v>
      </c>
      <c r="AD987" t="s">
        <v>74</v>
      </c>
      <c r="AE987" t="s">
        <v>74</v>
      </c>
      <c r="AF987" t="s">
        <v>74</v>
      </c>
      <c r="AG987">
        <v>9</v>
      </c>
      <c r="AH987">
        <v>7</v>
      </c>
      <c r="AI987">
        <v>7</v>
      </c>
      <c r="AJ987">
        <v>0</v>
      </c>
      <c r="AK987">
        <v>2</v>
      </c>
      <c r="AL987" t="s">
        <v>3710</v>
      </c>
      <c r="AM987" t="s">
        <v>3711</v>
      </c>
      <c r="AN987" t="s">
        <v>3712</v>
      </c>
      <c r="AO987" t="s">
        <v>3713</v>
      </c>
      <c r="AP987" t="s">
        <v>74</v>
      </c>
      <c r="AQ987" t="s">
        <v>74</v>
      </c>
      <c r="AR987" t="s">
        <v>3714</v>
      </c>
      <c r="AS987" t="s">
        <v>3715</v>
      </c>
      <c r="AT987" t="s">
        <v>12719</v>
      </c>
      <c r="AU987">
        <v>2002</v>
      </c>
      <c r="AV987">
        <v>37</v>
      </c>
      <c r="AW987">
        <v>7</v>
      </c>
      <c r="AX987" t="s">
        <v>74</v>
      </c>
      <c r="AY987" t="s">
        <v>903</v>
      </c>
      <c r="AZ987" t="s">
        <v>74</v>
      </c>
      <c r="BA987" t="s">
        <v>74</v>
      </c>
      <c r="BB987" t="s">
        <v>13483</v>
      </c>
      <c r="BC987" t="s">
        <v>13483</v>
      </c>
      <c r="BD987" t="s">
        <v>74</v>
      </c>
      <c r="BE987" t="s">
        <v>74</v>
      </c>
      <c r="BF987" t="s">
        <v>74</v>
      </c>
      <c r="BG987" t="s">
        <v>74</v>
      </c>
      <c r="BH987" t="s">
        <v>74</v>
      </c>
      <c r="BI987">
        <v>1</v>
      </c>
      <c r="BJ987" t="s">
        <v>2068</v>
      </c>
      <c r="BK987" t="s">
        <v>569</v>
      </c>
      <c r="BL987" t="s">
        <v>2068</v>
      </c>
      <c r="BM987" t="s">
        <v>13484</v>
      </c>
      <c r="BN987" t="s">
        <v>74</v>
      </c>
      <c r="BO987" t="s">
        <v>74</v>
      </c>
      <c r="BP987" t="s">
        <v>74</v>
      </c>
      <c r="BQ987" t="s">
        <v>74</v>
      </c>
      <c r="BR987" t="s">
        <v>98</v>
      </c>
      <c r="BS987" t="s">
        <v>13485</v>
      </c>
      <c r="BT987" t="str">
        <f>HYPERLINK("https%3A%2F%2Fwww.webofscience.com%2Fwos%2Fwoscc%2Ffull-record%2FWOS:000177274700095","View Full Record in Web of Science")</f>
        <v>View Full Record in Web of Science</v>
      </c>
    </row>
    <row r="988" spans="1:72" x14ac:dyDescent="0.15">
      <c r="A988" t="s">
        <v>552</v>
      </c>
      <c r="B988" t="s">
        <v>13486</v>
      </c>
      <c r="C988" t="s">
        <v>74</v>
      </c>
      <c r="D988" t="s">
        <v>74</v>
      </c>
      <c r="E988" t="s">
        <v>74</v>
      </c>
      <c r="F988" t="s">
        <v>13486</v>
      </c>
      <c r="G988" t="s">
        <v>74</v>
      </c>
      <c r="H988" t="s">
        <v>74</v>
      </c>
      <c r="I988" t="s">
        <v>13487</v>
      </c>
      <c r="J988" t="s">
        <v>3704</v>
      </c>
      <c r="K988" t="s">
        <v>74</v>
      </c>
      <c r="L988" t="s">
        <v>74</v>
      </c>
      <c r="M988" t="s">
        <v>78</v>
      </c>
      <c r="N988" t="s">
        <v>52</v>
      </c>
      <c r="O988" t="s">
        <v>74</v>
      </c>
      <c r="P988" t="s">
        <v>74</v>
      </c>
      <c r="Q988" t="s">
        <v>74</v>
      </c>
      <c r="R988" t="s">
        <v>74</v>
      </c>
      <c r="S988" t="s">
        <v>74</v>
      </c>
      <c r="T988" t="s">
        <v>74</v>
      </c>
      <c r="U988" t="s">
        <v>74</v>
      </c>
      <c r="V988" t="s">
        <v>74</v>
      </c>
      <c r="W988" t="s">
        <v>13488</v>
      </c>
      <c r="X988" t="s">
        <v>74</v>
      </c>
      <c r="Y988" t="s">
        <v>74</v>
      </c>
      <c r="Z988" t="s">
        <v>13489</v>
      </c>
      <c r="AA988" t="s">
        <v>74</v>
      </c>
      <c r="AB988" t="s">
        <v>74</v>
      </c>
      <c r="AC988" t="s">
        <v>74</v>
      </c>
      <c r="AD988" t="s">
        <v>74</v>
      </c>
      <c r="AE988" t="s">
        <v>74</v>
      </c>
      <c r="AF988" t="s">
        <v>74</v>
      </c>
      <c r="AG988">
        <v>0</v>
      </c>
      <c r="AH988">
        <v>0</v>
      </c>
      <c r="AI988">
        <v>0</v>
      </c>
      <c r="AJ988">
        <v>0</v>
      </c>
      <c r="AK988">
        <v>0</v>
      </c>
      <c r="AL988" t="s">
        <v>1147</v>
      </c>
      <c r="AM988" t="s">
        <v>1148</v>
      </c>
      <c r="AN988" t="s">
        <v>1149</v>
      </c>
      <c r="AO988" t="s">
        <v>3713</v>
      </c>
      <c r="AP988" t="s">
        <v>13490</v>
      </c>
      <c r="AQ988" t="s">
        <v>74</v>
      </c>
      <c r="AR988" t="s">
        <v>3714</v>
      </c>
      <c r="AS988" t="s">
        <v>3715</v>
      </c>
      <c r="AT988" t="s">
        <v>12719</v>
      </c>
      <c r="AU988">
        <v>2002</v>
      </c>
      <c r="AV988">
        <v>37</v>
      </c>
      <c r="AW988">
        <v>7</v>
      </c>
      <c r="AX988" t="s">
        <v>74</v>
      </c>
      <c r="AY988" t="s">
        <v>903</v>
      </c>
      <c r="AZ988" t="s">
        <v>74</v>
      </c>
      <c r="BA988" t="s">
        <v>74</v>
      </c>
      <c r="BB988" t="s">
        <v>13491</v>
      </c>
      <c r="BC988" t="s">
        <v>13491</v>
      </c>
      <c r="BD988" t="s">
        <v>74</v>
      </c>
      <c r="BE988" t="s">
        <v>74</v>
      </c>
      <c r="BF988" t="s">
        <v>74</v>
      </c>
      <c r="BG988" t="s">
        <v>74</v>
      </c>
      <c r="BH988" t="s">
        <v>74</v>
      </c>
      <c r="BI988">
        <v>1</v>
      </c>
      <c r="BJ988" t="s">
        <v>2068</v>
      </c>
      <c r="BK988" t="s">
        <v>569</v>
      </c>
      <c r="BL988" t="s">
        <v>2068</v>
      </c>
      <c r="BM988" t="s">
        <v>13484</v>
      </c>
      <c r="BN988" t="s">
        <v>74</v>
      </c>
      <c r="BO988" t="s">
        <v>74</v>
      </c>
      <c r="BP988" t="s">
        <v>74</v>
      </c>
      <c r="BQ988" t="s">
        <v>74</v>
      </c>
      <c r="BR988" t="s">
        <v>98</v>
      </c>
      <c r="BS988" t="s">
        <v>13492</v>
      </c>
      <c r="BT988" t="str">
        <f>HYPERLINK("https%3A%2F%2Fwww.webofscience.com%2Fwos%2Fwoscc%2Ffull-record%2FWOS:000177274700169","View Full Record in Web of Science")</f>
        <v>View Full Record in Web of Science</v>
      </c>
    </row>
    <row r="989" spans="1:72" x14ac:dyDescent="0.15">
      <c r="A989" t="s">
        <v>552</v>
      </c>
      <c r="B989" t="s">
        <v>13486</v>
      </c>
      <c r="C989" t="s">
        <v>74</v>
      </c>
      <c r="D989" t="s">
        <v>74</v>
      </c>
      <c r="E989" t="s">
        <v>74</v>
      </c>
      <c r="F989" t="s">
        <v>13486</v>
      </c>
      <c r="G989" t="s">
        <v>74</v>
      </c>
      <c r="H989" t="s">
        <v>74</v>
      </c>
      <c r="I989" t="s">
        <v>13493</v>
      </c>
      <c r="J989" t="s">
        <v>3704</v>
      </c>
      <c r="K989" t="s">
        <v>74</v>
      </c>
      <c r="L989" t="s">
        <v>74</v>
      </c>
      <c r="M989" t="s">
        <v>78</v>
      </c>
      <c r="N989" t="s">
        <v>52</v>
      </c>
      <c r="O989" t="s">
        <v>74</v>
      </c>
      <c r="P989" t="s">
        <v>74</v>
      </c>
      <c r="Q989" t="s">
        <v>74</v>
      </c>
      <c r="R989" t="s">
        <v>74</v>
      </c>
      <c r="S989" t="s">
        <v>74</v>
      </c>
      <c r="T989" t="s">
        <v>74</v>
      </c>
      <c r="U989" t="s">
        <v>74</v>
      </c>
      <c r="V989" t="s">
        <v>74</v>
      </c>
      <c r="W989" t="s">
        <v>13488</v>
      </c>
      <c r="X989" t="s">
        <v>74</v>
      </c>
      <c r="Y989" t="s">
        <v>74</v>
      </c>
      <c r="Z989" t="s">
        <v>13489</v>
      </c>
      <c r="AA989" t="s">
        <v>74</v>
      </c>
      <c r="AB989" t="s">
        <v>74</v>
      </c>
      <c r="AC989" t="s">
        <v>74</v>
      </c>
      <c r="AD989" t="s">
        <v>74</v>
      </c>
      <c r="AE989" t="s">
        <v>74</v>
      </c>
      <c r="AF989" t="s">
        <v>74</v>
      </c>
      <c r="AG989">
        <v>0</v>
      </c>
      <c r="AH989">
        <v>0</v>
      </c>
      <c r="AI989">
        <v>0</v>
      </c>
      <c r="AJ989">
        <v>0</v>
      </c>
      <c r="AK989">
        <v>0</v>
      </c>
      <c r="AL989" t="s">
        <v>1147</v>
      </c>
      <c r="AM989" t="s">
        <v>1148</v>
      </c>
      <c r="AN989" t="s">
        <v>1149</v>
      </c>
      <c r="AO989" t="s">
        <v>3713</v>
      </c>
      <c r="AP989" t="s">
        <v>13490</v>
      </c>
      <c r="AQ989" t="s">
        <v>74</v>
      </c>
      <c r="AR989" t="s">
        <v>3714</v>
      </c>
      <c r="AS989" t="s">
        <v>3715</v>
      </c>
      <c r="AT989" t="s">
        <v>12719</v>
      </c>
      <c r="AU989">
        <v>2002</v>
      </c>
      <c r="AV989">
        <v>37</v>
      </c>
      <c r="AW989">
        <v>7</v>
      </c>
      <c r="AX989" t="s">
        <v>74</v>
      </c>
      <c r="AY989" t="s">
        <v>903</v>
      </c>
      <c r="AZ989" t="s">
        <v>74</v>
      </c>
      <c r="BA989" t="s">
        <v>74</v>
      </c>
      <c r="BB989" t="s">
        <v>13491</v>
      </c>
      <c r="BC989" t="s">
        <v>13491</v>
      </c>
      <c r="BD989" t="s">
        <v>74</v>
      </c>
      <c r="BE989" t="s">
        <v>74</v>
      </c>
      <c r="BF989" t="s">
        <v>74</v>
      </c>
      <c r="BG989" t="s">
        <v>74</v>
      </c>
      <c r="BH989" t="s">
        <v>74</v>
      </c>
      <c r="BI989">
        <v>1</v>
      </c>
      <c r="BJ989" t="s">
        <v>2068</v>
      </c>
      <c r="BK989" t="s">
        <v>569</v>
      </c>
      <c r="BL989" t="s">
        <v>2068</v>
      </c>
      <c r="BM989" t="s">
        <v>13484</v>
      </c>
      <c r="BN989" t="s">
        <v>74</v>
      </c>
      <c r="BO989" t="s">
        <v>74</v>
      </c>
      <c r="BP989" t="s">
        <v>74</v>
      </c>
      <c r="BQ989" t="s">
        <v>74</v>
      </c>
      <c r="BR989" t="s">
        <v>98</v>
      </c>
      <c r="BS989" t="s">
        <v>13494</v>
      </c>
      <c r="BT989" t="str">
        <f>HYPERLINK("https%3A%2F%2Fwww.webofscience.com%2Fwos%2Fwoscc%2Ffull-record%2FWOS:000177274700168","View Full Record in Web of Science")</f>
        <v>View Full Record in Web of Science</v>
      </c>
    </row>
    <row r="990" spans="1:72" x14ac:dyDescent="0.15">
      <c r="A990" t="s">
        <v>552</v>
      </c>
      <c r="B990" t="s">
        <v>13486</v>
      </c>
      <c r="C990" t="s">
        <v>74</v>
      </c>
      <c r="D990" t="s">
        <v>74</v>
      </c>
      <c r="E990" t="s">
        <v>74</v>
      </c>
      <c r="F990" t="s">
        <v>13486</v>
      </c>
      <c r="G990" t="s">
        <v>74</v>
      </c>
      <c r="H990" t="s">
        <v>74</v>
      </c>
      <c r="I990" t="s">
        <v>13495</v>
      </c>
      <c r="J990" t="s">
        <v>3704</v>
      </c>
      <c r="K990" t="s">
        <v>74</v>
      </c>
      <c r="L990" t="s">
        <v>74</v>
      </c>
      <c r="M990" t="s">
        <v>78</v>
      </c>
      <c r="N990" t="s">
        <v>52</v>
      </c>
      <c r="O990" t="s">
        <v>74</v>
      </c>
      <c r="P990" t="s">
        <v>74</v>
      </c>
      <c r="Q990" t="s">
        <v>74</v>
      </c>
      <c r="R990" t="s">
        <v>74</v>
      </c>
      <c r="S990" t="s">
        <v>74</v>
      </c>
      <c r="T990" t="s">
        <v>74</v>
      </c>
      <c r="U990" t="s">
        <v>74</v>
      </c>
      <c r="V990" t="s">
        <v>74</v>
      </c>
      <c r="W990" t="s">
        <v>13488</v>
      </c>
      <c r="X990" t="s">
        <v>74</v>
      </c>
      <c r="Y990" t="s">
        <v>74</v>
      </c>
      <c r="Z990" t="s">
        <v>74</v>
      </c>
      <c r="AA990" t="s">
        <v>74</v>
      </c>
      <c r="AB990" t="s">
        <v>74</v>
      </c>
      <c r="AC990" t="s">
        <v>74</v>
      </c>
      <c r="AD990" t="s">
        <v>74</v>
      </c>
      <c r="AE990" t="s">
        <v>74</v>
      </c>
      <c r="AF990" t="s">
        <v>74</v>
      </c>
      <c r="AG990">
        <v>0</v>
      </c>
      <c r="AH990">
        <v>0</v>
      </c>
      <c r="AI990">
        <v>0</v>
      </c>
      <c r="AJ990">
        <v>0</v>
      </c>
      <c r="AK990">
        <v>0</v>
      </c>
      <c r="AL990" t="s">
        <v>3710</v>
      </c>
      <c r="AM990" t="s">
        <v>3711</v>
      </c>
      <c r="AN990" t="s">
        <v>3712</v>
      </c>
      <c r="AO990" t="s">
        <v>3713</v>
      </c>
      <c r="AP990" t="s">
        <v>74</v>
      </c>
      <c r="AQ990" t="s">
        <v>74</v>
      </c>
      <c r="AR990" t="s">
        <v>3714</v>
      </c>
      <c r="AS990" t="s">
        <v>3715</v>
      </c>
      <c r="AT990" t="s">
        <v>12719</v>
      </c>
      <c r="AU990">
        <v>2002</v>
      </c>
      <c r="AV990">
        <v>37</v>
      </c>
      <c r="AW990">
        <v>7</v>
      </c>
      <c r="AX990" t="s">
        <v>74</v>
      </c>
      <c r="AY990" t="s">
        <v>903</v>
      </c>
      <c r="AZ990" t="s">
        <v>74</v>
      </c>
      <c r="BA990" t="s">
        <v>74</v>
      </c>
      <c r="BB990" t="s">
        <v>13496</v>
      </c>
      <c r="BC990" t="s">
        <v>13496</v>
      </c>
      <c r="BD990" t="s">
        <v>74</v>
      </c>
      <c r="BE990" t="s">
        <v>74</v>
      </c>
      <c r="BF990" t="s">
        <v>74</v>
      </c>
      <c r="BG990" t="s">
        <v>74</v>
      </c>
      <c r="BH990" t="s">
        <v>74</v>
      </c>
      <c r="BI990">
        <v>1</v>
      </c>
      <c r="BJ990" t="s">
        <v>2068</v>
      </c>
      <c r="BK990" t="s">
        <v>569</v>
      </c>
      <c r="BL990" t="s">
        <v>2068</v>
      </c>
      <c r="BM990" t="s">
        <v>13484</v>
      </c>
      <c r="BN990" t="s">
        <v>74</v>
      </c>
      <c r="BO990" t="s">
        <v>74</v>
      </c>
      <c r="BP990" t="s">
        <v>74</v>
      </c>
      <c r="BQ990" t="s">
        <v>74</v>
      </c>
      <c r="BR990" t="s">
        <v>98</v>
      </c>
      <c r="BS990" t="s">
        <v>13497</v>
      </c>
      <c r="BT990" t="str">
        <f>HYPERLINK("https%3A%2F%2Fwww.webofscience.com%2Fwos%2Fwoscc%2Ffull-record%2FWOS:000177274700170","View Full Record in Web of Science")</f>
        <v>View Full Record in Web of Science</v>
      </c>
    </row>
    <row r="991" spans="1:72" x14ac:dyDescent="0.15">
      <c r="A991" t="s">
        <v>552</v>
      </c>
      <c r="B991" t="s">
        <v>13498</v>
      </c>
      <c r="C991" t="s">
        <v>74</v>
      </c>
      <c r="D991" t="s">
        <v>74</v>
      </c>
      <c r="E991" t="s">
        <v>74</v>
      </c>
      <c r="F991" t="s">
        <v>13498</v>
      </c>
      <c r="G991" t="s">
        <v>74</v>
      </c>
      <c r="H991" t="s">
        <v>74</v>
      </c>
      <c r="I991" t="s">
        <v>13499</v>
      </c>
      <c r="J991" t="s">
        <v>3704</v>
      </c>
      <c r="K991" t="s">
        <v>74</v>
      </c>
      <c r="L991" t="s">
        <v>74</v>
      </c>
      <c r="M991" t="s">
        <v>78</v>
      </c>
      <c r="N991" t="s">
        <v>52</v>
      </c>
      <c r="O991" t="s">
        <v>74</v>
      </c>
      <c r="P991" t="s">
        <v>74</v>
      </c>
      <c r="Q991" t="s">
        <v>74</v>
      </c>
      <c r="R991" t="s">
        <v>74</v>
      </c>
      <c r="S991" t="s">
        <v>74</v>
      </c>
      <c r="T991" t="s">
        <v>74</v>
      </c>
      <c r="U991" t="s">
        <v>74</v>
      </c>
      <c r="V991" t="s">
        <v>74</v>
      </c>
      <c r="W991" t="s">
        <v>13500</v>
      </c>
      <c r="X991" t="s">
        <v>13501</v>
      </c>
      <c r="Y991" t="s">
        <v>74</v>
      </c>
      <c r="Z991" t="s">
        <v>74</v>
      </c>
      <c r="AA991" t="s">
        <v>74</v>
      </c>
      <c r="AB991" t="s">
        <v>74</v>
      </c>
      <c r="AC991" t="s">
        <v>74</v>
      </c>
      <c r="AD991" t="s">
        <v>74</v>
      </c>
      <c r="AE991" t="s">
        <v>74</v>
      </c>
      <c r="AF991" t="s">
        <v>74</v>
      </c>
      <c r="AG991">
        <v>4</v>
      </c>
      <c r="AH991">
        <v>4</v>
      </c>
      <c r="AI991">
        <v>4</v>
      </c>
      <c r="AJ991">
        <v>0</v>
      </c>
      <c r="AK991">
        <v>0</v>
      </c>
      <c r="AL991" t="s">
        <v>3710</v>
      </c>
      <c r="AM991" t="s">
        <v>3711</v>
      </c>
      <c r="AN991" t="s">
        <v>3712</v>
      </c>
      <c r="AO991" t="s">
        <v>3713</v>
      </c>
      <c r="AP991" t="s">
        <v>74</v>
      </c>
      <c r="AQ991" t="s">
        <v>74</v>
      </c>
      <c r="AR991" t="s">
        <v>3714</v>
      </c>
      <c r="AS991" t="s">
        <v>3715</v>
      </c>
      <c r="AT991" t="s">
        <v>12719</v>
      </c>
      <c r="AU991">
        <v>2002</v>
      </c>
      <c r="AV991">
        <v>37</v>
      </c>
      <c r="AW991">
        <v>7</v>
      </c>
      <c r="AX991" t="s">
        <v>74</v>
      </c>
      <c r="AY991" t="s">
        <v>903</v>
      </c>
      <c r="AZ991" t="s">
        <v>74</v>
      </c>
      <c r="BA991" t="s">
        <v>74</v>
      </c>
      <c r="BB991" t="s">
        <v>13502</v>
      </c>
      <c r="BC991" t="s">
        <v>13502</v>
      </c>
      <c r="BD991" t="s">
        <v>74</v>
      </c>
      <c r="BE991" t="s">
        <v>74</v>
      </c>
      <c r="BF991" t="s">
        <v>74</v>
      </c>
      <c r="BG991" t="s">
        <v>74</v>
      </c>
      <c r="BH991" t="s">
        <v>74</v>
      </c>
      <c r="BI991">
        <v>1</v>
      </c>
      <c r="BJ991" t="s">
        <v>2068</v>
      </c>
      <c r="BK991" t="s">
        <v>569</v>
      </c>
      <c r="BL991" t="s">
        <v>2068</v>
      </c>
      <c r="BM991" t="s">
        <v>13484</v>
      </c>
      <c r="BN991" t="s">
        <v>74</v>
      </c>
      <c r="BO991" t="s">
        <v>74</v>
      </c>
      <c r="BP991" t="s">
        <v>74</v>
      </c>
      <c r="BQ991" t="s">
        <v>74</v>
      </c>
      <c r="BR991" t="s">
        <v>98</v>
      </c>
      <c r="BS991" t="s">
        <v>13503</v>
      </c>
      <c r="BT991" t="str">
        <f>HYPERLINK("https%3A%2F%2Fwww.webofscience.com%2Fwos%2Fwoscc%2Ffull-record%2FWOS:000177274700204","View Full Record in Web of Science")</f>
        <v>View Full Record in Web of Science</v>
      </c>
    </row>
    <row r="992" spans="1:72" x14ac:dyDescent="0.15">
      <c r="A992" t="s">
        <v>552</v>
      </c>
      <c r="B992" t="s">
        <v>13467</v>
      </c>
      <c r="C992" t="s">
        <v>74</v>
      </c>
      <c r="D992" t="s">
        <v>74</v>
      </c>
      <c r="E992" t="s">
        <v>74</v>
      </c>
      <c r="F992" t="s">
        <v>13467</v>
      </c>
      <c r="G992" t="s">
        <v>74</v>
      </c>
      <c r="H992" t="s">
        <v>74</v>
      </c>
      <c r="I992" t="s">
        <v>13504</v>
      </c>
      <c r="J992" t="s">
        <v>3704</v>
      </c>
      <c r="K992" t="s">
        <v>74</v>
      </c>
      <c r="L992" t="s">
        <v>74</v>
      </c>
      <c r="M992" t="s">
        <v>78</v>
      </c>
      <c r="N992" t="s">
        <v>52</v>
      </c>
      <c r="O992" t="s">
        <v>74</v>
      </c>
      <c r="P992" t="s">
        <v>74</v>
      </c>
      <c r="Q992" t="s">
        <v>74</v>
      </c>
      <c r="R992" t="s">
        <v>74</v>
      </c>
      <c r="S992" t="s">
        <v>74</v>
      </c>
      <c r="T992" t="s">
        <v>74</v>
      </c>
      <c r="U992" t="s">
        <v>74</v>
      </c>
      <c r="V992" t="s">
        <v>74</v>
      </c>
      <c r="W992" t="s">
        <v>13471</v>
      </c>
      <c r="X992" t="s">
        <v>2205</v>
      </c>
      <c r="Y992" t="s">
        <v>74</v>
      </c>
      <c r="Z992" t="s">
        <v>74</v>
      </c>
      <c r="AA992" t="s">
        <v>74</v>
      </c>
      <c r="AB992" t="s">
        <v>74</v>
      </c>
      <c r="AC992" t="s">
        <v>74</v>
      </c>
      <c r="AD992" t="s">
        <v>74</v>
      </c>
      <c r="AE992" t="s">
        <v>74</v>
      </c>
      <c r="AF992" t="s">
        <v>74</v>
      </c>
      <c r="AG992">
        <v>4</v>
      </c>
      <c r="AH992">
        <v>0</v>
      </c>
      <c r="AI992">
        <v>0</v>
      </c>
      <c r="AJ992">
        <v>0</v>
      </c>
      <c r="AK992">
        <v>0</v>
      </c>
      <c r="AL992" t="s">
        <v>3710</v>
      </c>
      <c r="AM992" t="s">
        <v>3711</v>
      </c>
      <c r="AN992" t="s">
        <v>3712</v>
      </c>
      <c r="AO992" t="s">
        <v>3713</v>
      </c>
      <c r="AP992" t="s">
        <v>74</v>
      </c>
      <c r="AQ992" t="s">
        <v>74</v>
      </c>
      <c r="AR992" t="s">
        <v>3714</v>
      </c>
      <c r="AS992" t="s">
        <v>3715</v>
      </c>
      <c r="AT992" t="s">
        <v>12719</v>
      </c>
      <c r="AU992">
        <v>2002</v>
      </c>
      <c r="AV992">
        <v>37</v>
      </c>
      <c r="AW992">
        <v>7</v>
      </c>
      <c r="AX992" t="s">
        <v>74</v>
      </c>
      <c r="AY992" t="s">
        <v>903</v>
      </c>
      <c r="AZ992" t="s">
        <v>74</v>
      </c>
      <c r="BA992" t="s">
        <v>74</v>
      </c>
      <c r="BB992" t="s">
        <v>13505</v>
      </c>
      <c r="BC992" t="s">
        <v>13505</v>
      </c>
      <c r="BD992" t="s">
        <v>74</v>
      </c>
      <c r="BE992" t="s">
        <v>74</v>
      </c>
      <c r="BF992" t="s">
        <v>74</v>
      </c>
      <c r="BG992" t="s">
        <v>74</v>
      </c>
      <c r="BH992" t="s">
        <v>74</v>
      </c>
      <c r="BI992">
        <v>1</v>
      </c>
      <c r="BJ992" t="s">
        <v>2068</v>
      </c>
      <c r="BK992" t="s">
        <v>569</v>
      </c>
      <c r="BL992" t="s">
        <v>2068</v>
      </c>
      <c r="BM992" t="s">
        <v>13484</v>
      </c>
      <c r="BN992" t="s">
        <v>74</v>
      </c>
      <c r="BO992" t="s">
        <v>74</v>
      </c>
      <c r="BP992" t="s">
        <v>74</v>
      </c>
      <c r="BQ992" t="s">
        <v>74</v>
      </c>
      <c r="BR992" t="s">
        <v>98</v>
      </c>
      <c r="BS992" t="s">
        <v>13506</v>
      </c>
      <c r="BT992" t="str">
        <f>HYPERLINK("https%3A%2F%2Fwww.webofscience.com%2Fwos%2Fwoscc%2Ffull-record%2FWOS:000177274700208","View Full Record in Web of Science")</f>
        <v>View Full Record in Web of Science</v>
      </c>
    </row>
    <row r="993" spans="1:72" x14ac:dyDescent="0.15">
      <c r="A993" t="s">
        <v>552</v>
      </c>
      <c r="B993" t="s">
        <v>13507</v>
      </c>
      <c r="C993" t="s">
        <v>74</v>
      </c>
      <c r="D993" t="s">
        <v>74</v>
      </c>
      <c r="E993" t="s">
        <v>74</v>
      </c>
      <c r="F993" t="s">
        <v>13507</v>
      </c>
      <c r="G993" t="s">
        <v>74</v>
      </c>
      <c r="H993" t="s">
        <v>74</v>
      </c>
      <c r="I993" t="s">
        <v>13508</v>
      </c>
      <c r="J993" t="s">
        <v>3704</v>
      </c>
      <c r="K993" t="s">
        <v>74</v>
      </c>
      <c r="L993" t="s">
        <v>74</v>
      </c>
      <c r="M993" t="s">
        <v>78</v>
      </c>
      <c r="N993" t="s">
        <v>52</v>
      </c>
      <c r="O993" t="s">
        <v>74</v>
      </c>
      <c r="P993" t="s">
        <v>74</v>
      </c>
      <c r="Q993" t="s">
        <v>74</v>
      </c>
      <c r="R993" t="s">
        <v>74</v>
      </c>
      <c r="S993" t="s">
        <v>74</v>
      </c>
      <c r="T993" t="s">
        <v>74</v>
      </c>
      <c r="U993" t="s">
        <v>13509</v>
      </c>
      <c r="V993" t="s">
        <v>74</v>
      </c>
      <c r="W993" t="s">
        <v>13510</v>
      </c>
      <c r="X993" t="s">
        <v>6697</v>
      </c>
      <c r="Y993" t="s">
        <v>74</v>
      </c>
      <c r="Z993" t="s">
        <v>74</v>
      </c>
      <c r="AA993" t="s">
        <v>74</v>
      </c>
      <c r="AB993" t="s">
        <v>74</v>
      </c>
      <c r="AC993" t="s">
        <v>74</v>
      </c>
      <c r="AD993" t="s">
        <v>74</v>
      </c>
      <c r="AE993" t="s">
        <v>74</v>
      </c>
      <c r="AF993" t="s">
        <v>74</v>
      </c>
      <c r="AG993">
        <v>5</v>
      </c>
      <c r="AH993">
        <v>0</v>
      </c>
      <c r="AI993">
        <v>0</v>
      </c>
      <c r="AJ993">
        <v>0</v>
      </c>
      <c r="AK993">
        <v>1</v>
      </c>
      <c r="AL993" t="s">
        <v>3710</v>
      </c>
      <c r="AM993" t="s">
        <v>3711</v>
      </c>
      <c r="AN993" t="s">
        <v>3712</v>
      </c>
      <c r="AO993" t="s">
        <v>3713</v>
      </c>
      <c r="AP993" t="s">
        <v>74</v>
      </c>
      <c r="AQ993" t="s">
        <v>74</v>
      </c>
      <c r="AR993" t="s">
        <v>3714</v>
      </c>
      <c r="AS993" t="s">
        <v>3715</v>
      </c>
      <c r="AT993" t="s">
        <v>12719</v>
      </c>
      <c r="AU993">
        <v>2002</v>
      </c>
      <c r="AV993">
        <v>37</v>
      </c>
      <c r="AW993">
        <v>7</v>
      </c>
      <c r="AX993" t="s">
        <v>74</v>
      </c>
      <c r="AY993" t="s">
        <v>903</v>
      </c>
      <c r="AZ993" t="s">
        <v>74</v>
      </c>
      <c r="BA993" t="s">
        <v>74</v>
      </c>
      <c r="BB993" t="s">
        <v>13511</v>
      </c>
      <c r="BC993" t="s">
        <v>13511</v>
      </c>
      <c r="BD993" t="s">
        <v>74</v>
      </c>
      <c r="BE993" t="s">
        <v>74</v>
      </c>
      <c r="BF993" t="s">
        <v>74</v>
      </c>
      <c r="BG993" t="s">
        <v>74</v>
      </c>
      <c r="BH993" t="s">
        <v>74</v>
      </c>
      <c r="BI993">
        <v>1</v>
      </c>
      <c r="BJ993" t="s">
        <v>2068</v>
      </c>
      <c r="BK993" t="s">
        <v>569</v>
      </c>
      <c r="BL993" t="s">
        <v>2068</v>
      </c>
      <c r="BM993" t="s">
        <v>13484</v>
      </c>
      <c r="BN993" t="s">
        <v>74</v>
      </c>
      <c r="BO993" t="s">
        <v>74</v>
      </c>
      <c r="BP993" t="s">
        <v>74</v>
      </c>
      <c r="BQ993" t="s">
        <v>74</v>
      </c>
      <c r="BR993" t="s">
        <v>98</v>
      </c>
      <c r="BS993" t="s">
        <v>13512</v>
      </c>
      <c r="BT993" t="str">
        <f>HYPERLINK("https%3A%2F%2Fwww.webofscience.com%2Fwos%2Fwoscc%2Ffull-record%2FWOS:000177274700263","View Full Record in Web of Science")</f>
        <v>View Full Record in Web of Science</v>
      </c>
    </row>
    <row r="994" spans="1:72" x14ac:dyDescent="0.15">
      <c r="A994" t="s">
        <v>552</v>
      </c>
      <c r="B994" t="s">
        <v>13513</v>
      </c>
      <c r="C994" t="s">
        <v>74</v>
      </c>
      <c r="D994" t="s">
        <v>74</v>
      </c>
      <c r="E994" t="s">
        <v>74</v>
      </c>
      <c r="F994" t="s">
        <v>13513</v>
      </c>
      <c r="G994" t="s">
        <v>74</v>
      </c>
      <c r="H994" t="s">
        <v>74</v>
      </c>
      <c r="I994" t="s">
        <v>13514</v>
      </c>
      <c r="J994" t="s">
        <v>3704</v>
      </c>
      <c r="K994" t="s">
        <v>74</v>
      </c>
      <c r="L994" t="s">
        <v>74</v>
      </c>
      <c r="M994" t="s">
        <v>78</v>
      </c>
      <c r="N994" t="s">
        <v>52</v>
      </c>
      <c r="O994" t="s">
        <v>74</v>
      </c>
      <c r="P994" t="s">
        <v>74</v>
      </c>
      <c r="Q994" t="s">
        <v>74</v>
      </c>
      <c r="R994" t="s">
        <v>74</v>
      </c>
      <c r="S994" t="s">
        <v>74</v>
      </c>
      <c r="T994" t="s">
        <v>74</v>
      </c>
      <c r="U994" t="s">
        <v>74</v>
      </c>
      <c r="V994" t="s">
        <v>74</v>
      </c>
      <c r="W994" t="s">
        <v>13515</v>
      </c>
      <c r="X994" t="s">
        <v>13516</v>
      </c>
      <c r="Y994" t="s">
        <v>74</v>
      </c>
      <c r="Z994" t="s">
        <v>74</v>
      </c>
      <c r="AA994" t="s">
        <v>74</v>
      </c>
      <c r="AB994" t="s">
        <v>74</v>
      </c>
      <c r="AC994" t="s">
        <v>74</v>
      </c>
      <c r="AD994" t="s">
        <v>74</v>
      </c>
      <c r="AE994" t="s">
        <v>74</v>
      </c>
      <c r="AF994" t="s">
        <v>74</v>
      </c>
      <c r="AG994">
        <v>7</v>
      </c>
      <c r="AH994">
        <v>2</v>
      </c>
      <c r="AI994">
        <v>2</v>
      </c>
      <c r="AJ994">
        <v>0</v>
      </c>
      <c r="AK994">
        <v>1</v>
      </c>
      <c r="AL994" t="s">
        <v>3710</v>
      </c>
      <c r="AM994" t="s">
        <v>3711</v>
      </c>
      <c r="AN994" t="s">
        <v>3712</v>
      </c>
      <c r="AO994" t="s">
        <v>3713</v>
      </c>
      <c r="AP994" t="s">
        <v>74</v>
      </c>
      <c r="AQ994" t="s">
        <v>74</v>
      </c>
      <c r="AR994" t="s">
        <v>3714</v>
      </c>
      <c r="AS994" t="s">
        <v>3715</v>
      </c>
      <c r="AT994" t="s">
        <v>12719</v>
      </c>
      <c r="AU994">
        <v>2002</v>
      </c>
      <c r="AV994">
        <v>37</v>
      </c>
      <c r="AW994">
        <v>7</v>
      </c>
      <c r="AX994" t="s">
        <v>74</v>
      </c>
      <c r="AY994" t="s">
        <v>903</v>
      </c>
      <c r="AZ994" t="s">
        <v>74</v>
      </c>
      <c r="BA994" t="s">
        <v>74</v>
      </c>
      <c r="BB994" t="s">
        <v>13517</v>
      </c>
      <c r="BC994" t="s">
        <v>13517</v>
      </c>
      <c r="BD994" t="s">
        <v>74</v>
      </c>
      <c r="BE994" t="s">
        <v>74</v>
      </c>
      <c r="BF994" t="s">
        <v>74</v>
      </c>
      <c r="BG994" t="s">
        <v>74</v>
      </c>
      <c r="BH994" t="s">
        <v>74</v>
      </c>
      <c r="BI994">
        <v>1</v>
      </c>
      <c r="BJ994" t="s">
        <v>2068</v>
      </c>
      <c r="BK994" t="s">
        <v>569</v>
      </c>
      <c r="BL994" t="s">
        <v>2068</v>
      </c>
      <c r="BM994" t="s">
        <v>13484</v>
      </c>
      <c r="BN994" t="s">
        <v>74</v>
      </c>
      <c r="BO994" t="s">
        <v>74</v>
      </c>
      <c r="BP994" t="s">
        <v>74</v>
      </c>
      <c r="BQ994" t="s">
        <v>74</v>
      </c>
      <c r="BR994" t="s">
        <v>98</v>
      </c>
      <c r="BS994" t="s">
        <v>13518</v>
      </c>
      <c r="BT994" t="str">
        <f>HYPERLINK("https%3A%2F%2Fwww.webofscience.com%2Fwos%2Fwoscc%2Ffull-record%2FWOS:000177274700286","View Full Record in Web of Science")</f>
        <v>View Full Record in Web of Science</v>
      </c>
    </row>
    <row r="995" spans="1:72" x14ac:dyDescent="0.15">
      <c r="A995" t="s">
        <v>552</v>
      </c>
      <c r="B995" t="s">
        <v>13519</v>
      </c>
      <c r="C995" t="s">
        <v>74</v>
      </c>
      <c r="D995" t="s">
        <v>74</v>
      </c>
      <c r="E995" t="s">
        <v>74</v>
      </c>
      <c r="F995" t="s">
        <v>13519</v>
      </c>
      <c r="G995" t="s">
        <v>74</v>
      </c>
      <c r="H995" t="s">
        <v>74</v>
      </c>
      <c r="I995" t="s">
        <v>13520</v>
      </c>
      <c r="J995" t="s">
        <v>13521</v>
      </c>
      <c r="K995" t="s">
        <v>74</v>
      </c>
      <c r="L995" t="s">
        <v>74</v>
      </c>
      <c r="M995" t="s">
        <v>78</v>
      </c>
      <c r="N995" t="s">
        <v>775</v>
      </c>
      <c r="O995" t="s">
        <v>74</v>
      </c>
      <c r="P995" t="s">
        <v>74</v>
      </c>
      <c r="Q995" t="s">
        <v>74</v>
      </c>
      <c r="R995" t="s">
        <v>74</v>
      </c>
      <c r="S995" t="s">
        <v>74</v>
      </c>
      <c r="T995" t="s">
        <v>13522</v>
      </c>
      <c r="U995" t="s">
        <v>13523</v>
      </c>
      <c r="V995" t="s">
        <v>13524</v>
      </c>
      <c r="W995" t="s">
        <v>13525</v>
      </c>
      <c r="X995" t="s">
        <v>13526</v>
      </c>
      <c r="Y995" t="s">
        <v>13527</v>
      </c>
      <c r="Z995" t="s">
        <v>13528</v>
      </c>
      <c r="AA995" t="s">
        <v>13529</v>
      </c>
      <c r="AB995" t="s">
        <v>13530</v>
      </c>
      <c r="AC995" t="s">
        <v>74</v>
      </c>
      <c r="AD995" t="s">
        <v>74</v>
      </c>
      <c r="AE995" t="s">
        <v>74</v>
      </c>
      <c r="AF995" t="s">
        <v>74</v>
      </c>
      <c r="AG995">
        <v>58</v>
      </c>
      <c r="AH995">
        <v>43</v>
      </c>
      <c r="AI995">
        <v>45</v>
      </c>
      <c r="AJ995">
        <v>0</v>
      </c>
      <c r="AK995">
        <v>12</v>
      </c>
      <c r="AL995" t="s">
        <v>4649</v>
      </c>
      <c r="AM995" t="s">
        <v>2542</v>
      </c>
      <c r="AN995" t="s">
        <v>4650</v>
      </c>
      <c r="AO995" t="s">
        <v>13531</v>
      </c>
      <c r="AP995" t="s">
        <v>13532</v>
      </c>
      <c r="AQ995" t="s">
        <v>74</v>
      </c>
      <c r="AR995" t="s">
        <v>13533</v>
      </c>
      <c r="AS995" t="s">
        <v>13534</v>
      </c>
      <c r="AT995" t="s">
        <v>12719</v>
      </c>
      <c r="AU995">
        <v>2002</v>
      </c>
      <c r="AV995">
        <v>24</v>
      </c>
      <c r="AW995">
        <v>1</v>
      </c>
      <c r="AX995" t="s">
        <v>74</v>
      </c>
      <c r="AY995" t="s">
        <v>74</v>
      </c>
      <c r="AZ995" t="s">
        <v>74</v>
      </c>
      <c r="BA995" t="s">
        <v>74</v>
      </c>
      <c r="BB995">
        <v>139</v>
      </c>
      <c r="BC995">
        <v>152</v>
      </c>
      <c r="BD995" t="s">
        <v>13535</v>
      </c>
      <c r="BE995" t="s">
        <v>13536</v>
      </c>
      <c r="BF995" t="str">
        <f>HYPERLINK("http://dx.doi.org/10.1016/S1055-7903(02)00223-3","http://dx.doi.org/10.1016/S1055-7903(02)00223-3")</f>
        <v>http://dx.doi.org/10.1016/S1055-7903(02)00223-3</v>
      </c>
      <c r="BG995" t="s">
        <v>74</v>
      </c>
      <c r="BH995" t="s">
        <v>74</v>
      </c>
      <c r="BI995">
        <v>14</v>
      </c>
      <c r="BJ995" t="s">
        <v>2967</v>
      </c>
      <c r="BK995" t="s">
        <v>569</v>
      </c>
      <c r="BL995" t="s">
        <v>2967</v>
      </c>
      <c r="BM995" t="s">
        <v>13537</v>
      </c>
      <c r="BN995">
        <v>12128034</v>
      </c>
      <c r="BO995" t="s">
        <v>74</v>
      </c>
      <c r="BP995" t="s">
        <v>74</v>
      </c>
      <c r="BQ995" t="s">
        <v>74</v>
      </c>
      <c r="BR995" t="s">
        <v>98</v>
      </c>
      <c r="BS995" t="s">
        <v>13538</v>
      </c>
      <c r="BT995" t="str">
        <f>HYPERLINK("https%3A%2F%2Fwww.webofscience.com%2Fwos%2Fwoscc%2Ffull-record%2FWOS:000177233900012","View Full Record in Web of Science")</f>
        <v>View Full Record in Web of Science</v>
      </c>
    </row>
    <row r="996" spans="1:72" x14ac:dyDescent="0.15">
      <c r="A996" t="s">
        <v>552</v>
      </c>
      <c r="B996" t="s">
        <v>13539</v>
      </c>
      <c r="C996" t="s">
        <v>74</v>
      </c>
      <c r="D996" t="s">
        <v>74</v>
      </c>
      <c r="E996" t="s">
        <v>74</v>
      </c>
      <c r="F996" t="s">
        <v>13539</v>
      </c>
      <c r="G996" t="s">
        <v>74</v>
      </c>
      <c r="H996" t="s">
        <v>74</v>
      </c>
      <c r="I996" t="s">
        <v>13540</v>
      </c>
      <c r="J996" t="s">
        <v>6513</v>
      </c>
      <c r="K996" t="s">
        <v>74</v>
      </c>
      <c r="L996" t="s">
        <v>74</v>
      </c>
      <c r="M996" t="s">
        <v>78</v>
      </c>
      <c r="N996" t="s">
        <v>775</v>
      </c>
      <c r="O996" t="s">
        <v>74</v>
      </c>
      <c r="P996" t="s">
        <v>74</v>
      </c>
      <c r="Q996" t="s">
        <v>74</v>
      </c>
      <c r="R996" t="s">
        <v>74</v>
      </c>
      <c r="S996" t="s">
        <v>74</v>
      </c>
      <c r="T996" t="s">
        <v>74</v>
      </c>
      <c r="U996" t="s">
        <v>13541</v>
      </c>
      <c r="V996" t="s">
        <v>13542</v>
      </c>
      <c r="W996" t="s">
        <v>13543</v>
      </c>
      <c r="X996" t="s">
        <v>13544</v>
      </c>
      <c r="Y996" t="s">
        <v>13545</v>
      </c>
      <c r="Z996" t="s">
        <v>74</v>
      </c>
      <c r="AA996" t="s">
        <v>13546</v>
      </c>
      <c r="AB996" t="s">
        <v>13547</v>
      </c>
      <c r="AC996" t="s">
        <v>74</v>
      </c>
      <c r="AD996" t="s">
        <v>74</v>
      </c>
      <c r="AE996" t="s">
        <v>74</v>
      </c>
      <c r="AF996" t="s">
        <v>74</v>
      </c>
      <c r="AG996">
        <v>36</v>
      </c>
      <c r="AH996">
        <v>5</v>
      </c>
      <c r="AI996">
        <v>6</v>
      </c>
      <c r="AJ996">
        <v>0</v>
      </c>
      <c r="AK996">
        <v>2</v>
      </c>
      <c r="AL996" t="s">
        <v>2652</v>
      </c>
      <c r="AM996" t="s">
        <v>2653</v>
      </c>
      <c r="AN996" t="s">
        <v>2654</v>
      </c>
      <c r="AO996" t="s">
        <v>6521</v>
      </c>
      <c r="AP996" t="s">
        <v>74</v>
      </c>
      <c r="AQ996" t="s">
        <v>74</v>
      </c>
      <c r="AR996" t="s">
        <v>6523</v>
      </c>
      <c r="AS996" t="s">
        <v>6524</v>
      </c>
      <c r="AT996" t="s">
        <v>12719</v>
      </c>
      <c r="AU996">
        <v>2002</v>
      </c>
      <c r="AV996">
        <v>130</v>
      </c>
      <c r="AW996">
        <v>7</v>
      </c>
      <c r="AX996" t="s">
        <v>74</v>
      </c>
      <c r="AY996" t="s">
        <v>74</v>
      </c>
      <c r="AZ996" t="s">
        <v>74</v>
      </c>
      <c r="BA996" t="s">
        <v>74</v>
      </c>
      <c r="BB996">
        <v>1771</v>
      </c>
      <c r="BC996">
        <v>1791</v>
      </c>
      <c r="BD996" t="s">
        <v>74</v>
      </c>
      <c r="BE996" t="s">
        <v>13548</v>
      </c>
      <c r="BF996" t="str">
        <f>HYPERLINK("http://dx.doi.org/10.1175/1520-0493(2002)130&lt;1771:AWRFSS&gt;2.0.CO;2","http://dx.doi.org/10.1175/1520-0493(2002)130&lt;1771:AWRFSS&gt;2.0.CO;2")</f>
        <v>http://dx.doi.org/10.1175/1520-0493(2002)130&lt;1771:AWRFSS&gt;2.0.CO;2</v>
      </c>
      <c r="BG996" t="s">
        <v>74</v>
      </c>
      <c r="BH996" t="s">
        <v>74</v>
      </c>
      <c r="BI996">
        <v>21</v>
      </c>
      <c r="BJ996" t="s">
        <v>1237</v>
      </c>
      <c r="BK996" t="s">
        <v>569</v>
      </c>
      <c r="BL996" t="s">
        <v>1237</v>
      </c>
      <c r="BM996" t="s">
        <v>13549</v>
      </c>
      <c r="BN996" t="s">
        <v>74</v>
      </c>
      <c r="BO996" t="s">
        <v>572</v>
      </c>
      <c r="BP996" t="s">
        <v>74</v>
      </c>
      <c r="BQ996" t="s">
        <v>74</v>
      </c>
      <c r="BR996" t="s">
        <v>98</v>
      </c>
      <c r="BS996" t="s">
        <v>13550</v>
      </c>
      <c r="BT996" t="str">
        <f>HYPERLINK("https%3A%2F%2Fwww.webofscience.com%2Fwos%2Fwoscc%2Ffull-record%2FWOS:000175855800005","View Full Record in Web of Science")</f>
        <v>View Full Record in Web of Science</v>
      </c>
    </row>
    <row r="997" spans="1:72" x14ac:dyDescent="0.15">
      <c r="A997" t="s">
        <v>552</v>
      </c>
      <c r="B997" t="s">
        <v>13551</v>
      </c>
      <c r="C997" t="s">
        <v>74</v>
      </c>
      <c r="D997" t="s">
        <v>74</v>
      </c>
      <c r="E997" t="s">
        <v>74</v>
      </c>
      <c r="F997" t="s">
        <v>13551</v>
      </c>
      <c r="G997" t="s">
        <v>74</v>
      </c>
      <c r="H997" t="s">
        <v>74</v>
      </c>
      <c r="I997" t="s">
        <v>13552</v>
      </c>
      <c r="J997" t="s">
        <v>13553</v>
      </c>
      <c r="K997" t="s">
        <v>74</v>
      </c>
      <c r="L997" t="s">
        <v>74</v>
      </c>
      <c r="M997" t="s">
        <v>78</v>
      </c>
      <c r="N997" t="s">
        <v>775</v>
      </c>
      <c r="O997" t="s">
        <v>74</v>
      </c>
      <c r="P997" t="s">
        <v>74</v>
      </c>
      <c r="Q997" t="s">
        <v>74</v>
      </c>
      <c r="R997" t="s">
        <v>74</v>
      </c>
      <c r="S997" t="s">
        <v>74</v>
      </c>
      <c r="T997" t="s">
        <v>74</v>
      </c>
      <c r="U997" t="s">
        <v>13554</v>
      </c>
      <c r="V997" t="s">
        <v>13555</v>
      </c>
      <c r="W997" t="s">
        <v>13556</v>
      </c>
      <c r="X997" t="s">
        <v>13557</v>
      </c>
      <c r="Y997" t="s">
        <v>13558</v>
      </c>
      <c r="Z997" t="s">
        <v>13559</v>
      </c>
      <c r="AA997" t="s">
        <v>13560</v>
      </c>
      <c r="AB997" t="s">
        <v>13561</v>
      </c>
      <c r="AC997" t="s">
        <v>74</v>
      </c>
      <c r="AD997" t="s">
        <v>74</v>
      </c>
      <c r="AE997" t="s">
        <v>74</v>
      </c>
      <c r="AF997" t="s">
        <v>74</v>
      </c>
      <c r="AG997">
        <v>40</v>
      </c>
      <c r="AH997">
        <v>58</v>
      </c>
      <c r="AI997">
        <v>64</v>
      </c>
      <c r="AJ997">
        <v>0</v>
      </c>
      <c r="AK997">
        <v>4</v>
      </c>
      <c r="AL997" t="s">
        <v>1974</v>
      </c>
      <c r="AM997" t="s">
        <v>807</v>
      </c>
      <c r="AN997" t="s">
        <v>1975</v>
      </c>
      <c r="AO997" t="s">
        <v>13562</v>
      </c>
      <c r="AP997" t="s">
        <v>74</v>
      </c>
      <c r="AQ997" t="s">
        <v>74</v>
      </c>
      <c r="AR997" t="s">
        <v>13563</v>
      </c>
      <c r="AS997" t="s">
        <v>13564</v>
      </c>
      <c r="AT997" t="s">
        <v>12719</v>
      </c>
      <c r="AU997">
        <v>2002</v>
      </c>
      <c r="AV997">
        <v>106</v>
      </c>
      <c r="AW997" t="s">
        <v>74</v>
      </c>
      <c r="AX997">
        <v>7</v>
      </c>
      <c r="AY997" t="s">
        <v>74</v>
      </c>
      <c r="AZ997" t="s">
        <v>74</v>
      </c>
      <c r="BA997" t="s">
        <v>74</v>
      </c>
      <c r="BB997">
        <v>788</v>
      </c>
      <c r="BC997">
        <v>795</v>
      </c>
      <c r="BD997" t="s">
        <v>74</v>
      </c>
      <c r="BE997" t="s">
        <v>13565</v>
      </c>
      <c r="BF997" t="str">
        <f>HYPERLINK("http://dx.doi.org/10.1017/S095375620200610X","http://dx.doi.org/10.1017/S095375620200610X")</f>
        <v>http://dx.doi.org/10.1017/S095375620200610X</v>
      </c>
      <c r="BG997" t="s">
        <v>74</v>
      </c>
      <c r="BH997" t="s">
        <v>74</v>
      </c>
      <c r="BI997">
        <v>8</v>
      </c>
      <c r="BJ997" t="s">
        <v>3804</v>
      </c>
      <c r="BK997" t="s">
        <v>569</v>
      </c>
      <c r="BL997" t="s">
        <v>3804</v>
      </c>
      <c r="BM997" t="s">
        <v>13566</v>
      </c>
      <c r="BN997" t="s">
        <v>74</v>
      </c>
      <c r="BO997" t="s">
        <v>74</v>
      </c>
      <c r="BP997" t="s">
        <v>74</v>
      </c>
      <c r="BQ997" t="s">
        <v>74</v>
      </c>
      <c r="BR997" t="s">
        <v>98</v>
      </c>
      <c r="BS997" t="s">
        <v>13567</v>
      </c>
      <c r="BT997" t="str">
        <f>HYPERLINK("https%3A%2F%2Fwww.webofscience.com%2Fwos%2Fwoscc%2Ffull-record%2FWOS:000178737300006","View Full Record in Web of Science")</f>
        <v>View Full Record in Web of Science</v>
      </c>
    </row>
    <row r="998" spans="1:72" x14ac:dyDescent="0.15">
      <c r="A998" t="s">
        <v>552</v>
      </c>
      <c r="B998" t="s">
        <v>13568</v>
      </c>
      <c r="C998" t="s">
        <v>74</v>
      </c>
      <c r="D998" t="s">
        <v>74</v>
      </c>
      <c r="E998" t="s">
        <v>74</v>
      </c>
      <c r="F998" t="s">
        <v>13568</v>
      </c>
      <c r="G998" t="s">
        <v>74</v>
      </c>
      <c r="H998" t="s">
        <v>74</v>
      </c>
      <c r="I998" t="s">
        <v>13569</v>
      </c>
      <c r="J998" t="s">
        <v>13570</v>
      </c>
      <c r="K998" t="s">
        <v>74</v>
      </c>
      <c r="L998" t="s">
        <v>74</v>
      </c>
      <c r="M998" t="s">
        <v>78</v>
      </c>
      <c r="N998" t="s">
        <v>775</v>
      </c>
      <c r="O998" t="s">
        <v>74</v>
      </c>
      <c r="P998" t="s">
        <v>74</v>
      </c>
      <c r="Q998" t="s">
        <v>74</v>
      </c>
      <c r="R998" t="s">
        <v>74</v>
      </c>
      <c r="S998" t="s">
        <v>74</v>
      </c>
      <c r="T998" t="s">
        <v>74</v>
      </c>
      <c r="U998" t="s">
        <v>13571</v>
      </c>
      <c r="V998" t="s">
        <v>13572</v>
      </c>
      <c r="W998" t="s">
        <v>13573</v>
      </c>
      <c r="X998" t="s">
        <v>4943</v>
      </c>
      <c r="Y998" t="s">
        <v>13574</v>
      </c>
      <c r="Z998" t="s">
        <v>74</v>
      </c>
      <c r="AA998" t="s">
        <v>13575</v>
      </c>
      <c r="AB998" t="s">
        <v>13576</v>
      </c>
      <c r="AC998" t="s">
        <v>74</v>
      </c>
      <c r="AD998" t="s">
        <v>74</v>
      </c>
      <c r="AE998" t="s">
        <v>74</v>
      </c>
      <c r="AF998" t="s">
        <v>74</v>
      </c>
      <c r="AG998">
        <v>21</v>
      </c>
      <c r="AH998">
        <v>11</v>
      </c>
      <c r="AI998">
        <v>11</v>
      </c>
      <c r="AJ998">
        <v>0</v>
      </c>
      <c r="AK998">
        <v>1</v>
      </c>
      <c r="AL998" t="s">
        <v>13577</v>
      </c>
      <c r="AM998" t="s">
        <v>13578</v>
      </c>
      <c r="AN998" t="s">
        <v>13579</v>
      </c>
      <c r="AO998" t="s">
        <v>13580</v>
      </c>
      <c r="AP998" t="s">
        <v>74</v>
      </c>
      <c r="AQ998" t="s">
        <v>74</v>
      </c>
      <c r="AR998" t="s">
        <v>13581</v>
      </c>
      <c r="AS998" t="s">
        <v>13582</v>
      </c>
      <c r="AT998" t="s">
        <v>12705</v>
      </c>
      <c r="AU998">
        <v>2002</v>
      </c>
      <c r="AV998">
        <v>25</v>
      </c>
      <c r="AW998">
        <v>4</v>
      </c>
      <c r="AX998" t="s">
        <v>74</v>
      </c>
      <c r="AY998" t="s">
        <v>74</v>
      </c>
      <c r="AZ998" t="s">
        <v>74</v>
      </c>
      <c r="BA998" t="s">
        <v>74</v>
      </c>
      <c r="BB998">
        <v>425</v>
      </c>
      <c r="BC998">
        <v>431</v>
      </c>
      <c r="BD998" t="s">
        <v>74</v>
      </c>
      <c r="BE998" t="s">
        <v>74</v>
      </c>
      <c r="BF998" t="s">
        <v>74</v>
      </c>
      <c r="BG998" t="s">
        <v>74</v>
      </c>
      <c r="BH998" t="s">
        <v>74</v>
      </c>
      <c r="BI998">
        <v>7</v>
      </c>
      <c r="BJ998" t="s">
        <v>74</v>
      </c>
      <c r="BK998" t="s">
        <v>569</v>
      </c>
      <c r="BL998" t="s">
        <v>74</v>
      </c>
      <c r="BM998" t="s">
        <v>13583</v>
      </c>
      <c r="BN998" t="s">
        <v>74</v>
      </c>
      <c r="BO998" t="s">
        <v>74</v>
      </c>
      <c r="BP998" t="s">
        <v>74</v>
      </c>
      <c r="BQ998" t="s">
        <v>74</v>
      </c>
      <c r="BR998" t="s">
        <v>98</v>
      </c>
      <c r="BS998" t="s">
        <v>13584</v>
      </c>
      <c r="BT998" t="str">
        <f>HYPERLINK("https%3A%2F%2Fwww.webofscience.com%2Fwos%2Fwoscc%2Ffull-record%2FWOS:000179812300003","View Full Record in Web of Science")</f>
        <v>View Full Record in Web of Science</v>
      </c>
    </row>
    <row r="999" spans="1:72" x14ac:dyDescent="0.15">
      <c r="A999" t="s">
        <v>552</v>
      </c>
      <c r="B999" t="s">
        <v>13585</v>
      </c>
      <c r="C999" t="s">
        <v>74</v>
      </c>
      <c r="D999" t="s">
        <v>74</v>
      </c>
      <c r="E999" t="s">
        <v>74</v>
      </c>
      <c r="F999" t="s">
        <v>13585</v>
      </c>
      <c r="G999" t="s">
        <v>74</v>
      </c>
      <c r="H999" t="s">
        <v>74</v>
      </c>
      <c r="I999" t="s">
        <v>13586</v>
      </c>
      <c r="J999" t="s">
        <v>13587</v>
      </c>
      <c r="K999" t="s">
        <v>74</v>
      </c>
      <c r="L999" t="s">
        <v>74</v>
      </c>
      <c r="M999" t="s">
        <v>78</v>
      </c>
      <c r="N999" t="s">
        <v>775</v>
      </c>
      <c r="O999" t="s">
        <v>74</v>
      </c>
      <c r="P999" t="s">
        <v>74</v>
      </c>
      <c r="Q999" t="s">
        <v>74</v>
      </c>
      <c r="R999" t="s">
        <v>74</v>
      </c>
      <c r="S999" t="s">
        <v>74</v>
      </c>
      <c r="T999" t="s">
        <v>13588</v>
      </c>
      <c r="U999" t="s">
        <v>74</v>
      </c>
      <c r="V999" t="s">
        <v>13589</v>
      </c>
      <c r="W999" t="s">
        <v>13590</v>
      </c>
      <c r="X999" t="s">
        <v>13591</v>
      </c>
      <c r="Y999" t="s">
        <v>13592</v>
      </c>
      <c r="Z999" t="s">
        <v>13593</v>
      </c>
      <c r="AA999" t="s">
        <v>13594</v>
      </c>
      <c r="AB999" t="s">
        <v>13595</v>
      </c>
      <c r="AC999" t="s">
        <v>74</v>
      </c>
      <c r="AD999" t="s">
        <v>74</v>
      </c>
      <c r="AE999" t="s">
        <v>74</v>
      </c>
      <c r="AF999" t="s">
        <v>74</v>
      </c>
      <c r="AG999">
        <v>97</v>
      </c>
      <c r="AH999">
        <v>14</v>
      </c>
      <c r="AI999">
        <v>17</v>
      </c>
      <c r="AJ999">
        <v>0</v>
      </c>
      <c r="AK999">
        <v>11</v>
      </c>
      <c r="AL999" t="s">
        <v>2266</v>
      </c>
      <c r="AM999" t="s">
        <v>2267</v>
      </c>
      <c r="AN999" t="s">
        <v>2268</v>
      </c>
      <c r="AO999" t="s">
        <v>13596</v>
      </c>
      <c r="AP999" t="s">
        <v>13597</v>
      </c>
      <c r="AQ999" t="s">
        <v>74</v>
      </c>
      <c r="AR999" t="s">
        <v>13598</v>
      </c>
      <c r="AS999" t="s">
        <v>13599</v>
      </c>
      <c r="AT999" t="s">
        <v>13600</v>
      </c>
      <c r="AU999">
        <v>2002</v>
      </c>
      <c r="AV999">
        <v>33</v>
      </c>
      <c r="AW999" t="s">
        <v>1424</v>
      </c>
      <c r="AX999" t="s">
        <v>74</v>
      </c>
      <c r="AY999" t="s">
        <v>74</v>
      </c>
      <c r="AZ999" t="s">
        <v>74</v>
      </c>
      <c r="BA999" t="s">
        <v>74</v>
      </c>
      <c r="BB999">
        <v>359</v>
      </c>
      <c r="BC999">
        <v>389</v>
      </c>
      <c r="BD999" t="s">
        <v>74</v>
      </c>
      <c r="BE999" t="s">
        <v>13601</v>
      </c>
      <c r="BF999" t="str">
        <f>HYPERLINK("http://dx.doi.org/10.1080/00908320290054828","http://dx.doi.org/10.1080/00908320290054828")</f>
        <v>http://dx.doi.org/10.1080/00908320290054828</v>
      </c>
      <c r="BG999" t="s">
        <v>74</v>
      </c>
      <c r="BH999" t="s">
        <v>74</v>
      </c>
      <c r="BI999">
        <v>31</v>
      </c>
      <c r="BJ999" t="s">
        <v>13602</v>
      </c>
      <c r="BK999" t="s">
        <v>4745</v>
      </c>
      <c r="BL999" t="s">
        <v>13603</v>
      </c>
      <c r="BM999" t="s">
        <v>13604</v>
      </c>
      <c r="BN999" t="s">
        <v>74</v>
      </c>
      <c r="BO999" t="s">
        <v>74</v>
      </c>
      <c r="BP999" t="s">
        <v>74</v>
      </c>
      <c r="BQ999" t="s">
        <v>74</v>
      </c>
      <c r="BR999" t="s">
        <v>98</v>
      </c>
      <c r="BS999" t="s">
        <v>13605</v>
      </c>
      <c r="BT999" t="str">
        <f>HYPERLINK("https%3A%2F%2Fwww.webofscience.com%2Fwos%2Fwoscc%2Ffull-record%2FWOS:000177532200005","View Full Record in Web of Science")</f>
        <v>View Full Record in Web of Science</v>
      </c>
    </row>
    <row r="1000" spans="1:72" x14ac:dyDescent="0.15">
      <c r="A1000" t="s">
        <v>552</v>
      </c>
      <c r="B1000" t="s">
        <v>13606</v>
      </c>
      <c r="C1000" t="s">
        <v>74</v>
      </c>
      <c r="D1000" t="s">
        <v>74</v>
      </c>
      <c r="E1000" t="s">
        <v>74</v>
      </c>
      <c r="F1000" t="s">
        <v>13606</v>
      </c>
      <c r="G1000" t="s">
        <v>74</v>
      </c>
      <c r="H1000" t="s">
        <v>74</v>
      </c>
      <c r="I1000" t="s">
        <v>13607</v>
      </c>
      <c r="J1000" t="s">
        <v>4004</v>
      </c>
      <c r="K1000" t="s">
        <v>74</v>
      </c>
      <c r="L1000" t="s">
        <v>74</v>
      </c>
      <c r="M1000" t="s">
        <v>78</v>
      </c>
      <c r="N1000" t="s">
        <v>775</v>
      </c>
      <c r="O1000" t="s">
        <v>74</v>
      </c>
      <c r="P1000" t="s">
        <v>74</v>
      </c>
      <c r="Q1000" t="s">
        <v>74</v>
      </c>
      <c r="R1000" t="s">
        <v>74</v>
      </c>
      <c r="S1000" t="s">
        <v>74</v>
      </c>
      <c r="T1000" t="s">
        <v>74</v>
      </c>
      <c r="U1000" t="s">
        <v>13608</v>
      </c>
      <c r="V1000" t="s">
        <v>13609</v>
      </c>
      <c r="W1000" t="s">
        <v>6787</v>
      </c>
      <c r="X1000" t="s">
        <v>6067</v>
      </c>
      <c r="Y1000" t="s">
        <v>13610</v>
      </c>
      <c r="Z1000" t="s">
        <v>74</v>
      </c>
      <c r="AA1000" t="s">
        <v>74</v>
      </c>
      <c r="AB1000" t="s">
        <v>74</v>
      </c>
      <c r="AC1000" t="s">
        <v>74</v>
      </c>
      <c r="AD1000" t="s">
        <v>74</v>
      </c>
      <c r="AE1000" t="s">
        <v>74</v>
      </c>
      <c r="AF1000" t="s">
        <v>74</v>
      </c>
      <c r="AG1000">
        <v>28</v>
      </c>
      <c r="AH1000">
        <v>0</v>
      </c>
      <c r="AI1000">
        <v>0</v>
      </c>
      <c r="AJ1000">
        <v>0</v>
      </c>
      <c r="AK1000">
        <v>1</v>
      </c>
      <c r="AL1000" t="s">
        <v>4012</v>
      </c>
      <c r="AM1000" t="s">
        <v>561</v>
      </c>
      <c r="AN1000" t="s">
        <v>4013</v>
      </c>
      <c r="AO1000" t="s">
        <v>4014</v>
      </c>
      <c r="AP1000" t="s">
        <v>4015</v>
      </c>
      <c r="AQ1000" t="s">
        <v>74</v>
      </c>
      <c r="AR1000" t="s">
        <v>4016</v>
      </c>
      <c r="AS1000" t="s">
        <v>4017</v>
      </c>
      <c r="AT1000" t="s">
        <v>12705</v>
      </c>
      <c r="AU1000">
        <v>2002</v>
      </c>
      <c r="AV1000">
        <v>42</v>
      </c>
      <c r="AW1000">
        <v>4</v>
      </c>
      <c r="AX1000" t="s">
        <v>74</v>
      </c>
      <c r="AY1000" t="s">
        <v>74</v>
      </c>
      <c r="AZ1000" t="s">
        <v>74</v>
      </c>
      <c r="BA1000" t="s">
        <v>74</v>
      </c>
      <c r="BB1000">
        <v>461</v>
      </c>
      <c r="BC1000">
        <v>469</v>
      </c>
      <c r="BD1000" t="s">
        <v>74</v>
      </c>
      <c r="BE1000" t="s">
        <v>74</v>
      </c>
      <c r="BF1000" t="s">
        <v>74</v>
      </c>
      <c r="BG1000" t="s">
        <v>74</v>
      </c>
      <c r="BH1000" t="s">
        <v>74</v>
      </c>
      <c r="BI1000">
        <v>9</v>
      </c>
      <c r="BJ1000" t="s">
        <v>1394</v>
      </c>
      <c r="BK1000" t="s">
        <v>569</v>
      </c>
      <c r="BL1000" t="s">
        <v>1394</v>
      </c>
      <c r="BM1000" t="s">
        <v>13611</v>
      </c>
      <c r="BN1000" t="s">
        <v>74</v>
      </c>
      <c r="BO1000" t="s">
        <v>74</v>
      </c>
      <c r="BP1000" t="s">
        <v>74</v>
      </c>
      <c r="BQ1000" t="s">
        <v>74</v>
      </c>
      <c r="BR1000" t="s">
        <v>98</v>
      </c>
      <c r="BS1000" t="s">
        <v>13612</v>
      </c>
      <c r="BT1000" t="str">
        <f>HYPERLINK("https%3A%2F%2Fwww.webofscience.com%2Fwos%2Fwoscc%2Ffull-record%2FWOS:000177945000001","View Full Record in Web of Science")</f>
        <v>View Full Record in Web of Science</v>
      </c>
    </row>
    <row r="1001" spans="1:72" x14ac:dyDescent="0.15">
      <c r="A1001" t="s">
        <v>552</v>
      </c>
      <c r="B1001" t="s">
        <v>10830</v>
      </c>
      <c r="C1001" t="s">
        <v>74</v>
      </c>
      <c r="D1001" t="s">
        <v>74</v>
      </c>
      <c r="E1001" t="s">
        <v>74</v>
      </c>
      <c r="F1001" t="s">
        <v>10830</v>
      </c>
      <c r="G1001" t="s">
        <v>74</v>
      </c>
      <c r="H1001" t="s">
        <v>74</v>
      </c>
      <c r="I1001" t="s">
        <v>13613</v>
      </c>
      <c r="J1001" t="s">
        <v>4004</v>
      </c>
      <c r="K1001" t="s">
        <v>74</v>
      </c>
      <c r="L1001" t="s">
        <v>74</v>
      </c>
      <c r="M1001" t="s">
        <v>78</v>
      </c>
      <c r="N1001" t="s">
        <v>775</v>
      </c>
      <c r="O1001" t="s">
        <v>74</v>
      </c>
      <c r="P1001" t="s">
        <v>74</v>
      </c>
      <c r="Q1001" t="s">
        <v>74</v>
      </c>
      <c r="R1001" t="s">
        <v>74</v>
      </c>
      <c r="S1001" t="s">
        <v>74</v>
      </c>
      <c r="T1001" t="s">
        <v>74</v>
      </c>
      <c r="U1001" t="s">
        <v>13614</v>
      </c>
      <c r="V1001" t="s">
        <v>13615</v>
      </c>
      <c r="W1001" t="s">
        <v>6787</v>
      </c>
      <c r="X1001" t="s">
        <v>6067</v>
      </c>
      <c r="Y1001" t="s">
        <v>13616</v>
      </c>
      <c r="Z1001" t="s">
        <v>74</v>
      </c>
      <c r="AA1001" t="s">
        <v>74</v>
      </c>
      <c r="AB1001" t="s">
        <v>74</v>
      </c>
      <c r="AC1001" t="s">
        <v>74</v>
      </c>
      <c r="AD1001" t="s">
        <v>74</v>
      </c>
      <c r="AE1001" t="s">
        <v>74</v>
      </c>
      <c r="AF1001" t="s">
        <v>74</v>
      </c>
      <c r="AG1001">
        <v>25</v>
      </c>
      <c r="AH1001">
        <v>0</v>
      </c>
      <c r="AI1001">
        <v>0</v>
      </c>
      <c r="AJ1001">
        <v>0</v>
      </c>
      <c r="AK1001">
        <v>1</v>
      </c>
      <c r="AL1001" t="s">
        <v>1807</v>
      </c>
      <c r="AM1001" t="s">
        <v>1808</v>
      </c>
      <c r="AN1001" t="s">
        <v>1809</v>
      </c>
      <c r="AO1001" t="s">
        <v>4014</v>
      </c>
      <c r="AP1001" t="s">
        <v>74</v>
      </c>
      <c r="AQ1001" t="s">
        <v>74</v>
      </c>
      <c r="AR1001" t="s">
        <v>4016</v>
      </c>
      <c r="AS1001" t="s">
        <v>4017</v>
      </c>
      <c r="AT1001" t="s">
        <v>12705</v>
      </c>
      <c r="AU1001">
        <v>2002</v>
      </c>
      <c r="AV1001">
        <v>42</v>
      </c>
      <c r="AW1001">
        <v>4</v>
      </c>
      <c r="AX1001" t="s">
        <v>74</v>
      </c>
      <c r="AY1001" t="s">
        <v>74</v>
      </c>
      <c r="AZ1001" t="s">
        <v>74</v>
      </c>
      <c r="BA1001" t="s">
        <v>74</v>
      </c>
      <c r="BB1001">
        <v>575</v>
      </c>
      <c r="BC1001">
        <v>584</v>
      </c>
      <c r="BD1001" t="s">
        <v>74</v>
      </c>
      <c r="BE1001" t="s">
        <v>74</v>
      </c>
      <c r="BF1001" t="s">
        <v>74</v>
      </c>
      <c r="BG1001" t="s">
        <v>74</v>
      </c>
      <c r="BH1001" t="s">
        <v>74</v>
      </c>
      <c r="BI1001">
        <v>10</v>
      </c>
      <c r="BJ1001" t="s">
        <v>1394</v>
      </c>
      <c r="BK1001" t="s">
        <v>569</v>
      </c>
      <c r="BL1001" t="s">
        <v>1394</v>
      </c>
      <c r="BM1001" t="s">
        <v>13611</v>
      </c>
      <c r="BN1001" t="s">
        <v>74</v>
      </c>
      <c r="BO1001" t="s">
        <v>74</v>
      </c>
      <c r="BP1001" t="s">
        <v>74</v>
      </c>
      <c r="BQ1001" t="s">
        <v>74</v>
      </c>
      <c r="BR1001" t="s">
        <v>98</v>
      </c>
      <c r="BS1001" t="s">
        <v>13617</v>
      </c>
      <c r="BT1001" t="str">
        <f>HYPERLINK("https%3A%2F%2Fwww.webofscience.com%2Fwos%2Fwoscc%2Ffull-record%2FWOS:000177945000015","View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2024-07-28T15:26:32Z</dcterms:created>
  <dcterms:modified xsi:type="dcterms:W3CDTF">2024-07-28T15:26:33Z</dcterms:modified>
</cp:coreProperties>
</file>